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harts/chart22.xml" ContentType="application/vnd.openxmlformats-officedocument.drawingml.chart+xml"/>
  <Override PartName="/xl/drawings/drawing6.xml" ContentType="application/vnd.openxmlformats-officedocument.drawingml.chartshapes+xml"/>
  <Override PartName="/xl/charts/chart23.xml" ContentType="application/vnd.openxmlformats-officedocument.drawingml.chart+xml"/>
  <Override PartName="/xl/drawings/drawing7.xml" ContentType="application/vnd.openxmlformats-officedocument.drawingml.chartshapes+xml"/>
  <Override PartName="/xl/charts/chart24.xml" ContentType="application/vnd.openxmlformats-officedocument.drawingml.chart+xml"/>
  <Override PartName="/xl/drawings/drawing8.xml" ContentType="application/vnd.openxmlformats-officedocument.drawingml.chartshapes+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5.xml" ContentType="application/vnd.openxmlformats-officedocument.spreadsheetml.comments+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COMMUNICATIONS\Website Redesign 2016\Resources to be added\"/>
    </mc:Choice>
  </mc:AlternateContent>
  <workbookProtection workbookPassword="C66B" lockStructure="1"/>
  <bookViews>
    <workbookView xWindow="0" yWindow="0" windowWidth="24000" windowHeight="9135" tabRatio="781"/>
  </bookViews>
  <sheets>
    <sheet name="1a. About the Calculator" sheetId="32" r:id="rId1"/>
    <sheet name="1b. Getting Started" sheetId="33" r:id="rId2"/>
    <sheet name="1c. FAQs" sheetId="34" r:id="rId3"/>
    <sheet name="2.Data Input" sheetId="22" r:id="rId4"/>
    <sheet name="3.Investment Wksht (optional)" sheetId="31" r:id="rId5"/>
    <sheet name="4.Current Outcomes" sheetId="16" r:id="rId6"/>
    <sheet name="5.Current Investments &amp; Costs" sheetId="27" r:id="rId7"/>
    <sheet name="6.Change PH Exits" sheetId="7" r:id="rId8"/>
    <sheet name="7.Change LOS" sheetId="8" r:id="rId9"/>
    <sheet name="8.Change Investments" sheetId="9" r:id="rId10"/>
    <sheet name="9.Change Returns to Hmls" sheetId="28" r:id="rId11"/>
    <sheet name="10.Summary of Changes" sheetId="10" r:id="rId12"/>
    <sheet name="11.Change All Calculator" sheetId="29" r:id="rId13"/>
    <sheet name="Formulas" sheetId="23" state="hidden" r:id="rId14"/>
  </sheets>
  <definedNames>
    <definedName name="_xlnm.Print_Area" localSheetId="11">'10.Summary of Changes'!$A$1:$E$114,'10.Summary of Changes'!$G$1:$J$114,'10.Summary of Changes'!$L$1:$O$114</definedName>
    <definedName name="_xlnm.Print_Area" localSheetId="12">'11.Change All Calculator'!$A$1:$F$116,'11.Change All Calculator'!$H$1:$L$116,'11.Change All Calculator'!$N$1:$Q$116</definedName>
    <definedName name="_xlnm.Print_Area" localSheetId="2">'1c. FAQs'!$A$1:$G$139</definedName>
    <definedName name="_xlnm.Print_Area" localSheetId="3">'2.Data Input'!$A$1:$S$34,'2.Data Input'!$A$35:$I$71</definedName>
    <definedName name="_xlnm.Print_Area" localSheetId="5">'4.Current Outcomes'!$A$2:$F$60,'4.Current Outcomes'!$H$2:$L$60,'4.Current Outcomes'!$N$2:$S$60</definedName>
    <definedName name="_xlnm.Print_Area" localSheetId="6">'5.Current Investments &amp; Costs'!$A$3:$E$41,'5.Current Investments &amp; Costs'!$G$3:$J$41,'5.Current Investments &amp; Costs'!$L$3:$P$41</definedName>
    <definedName name="_xlnm.Print_Area" localSheetId="7">'6.Change PH Exits'!$A$1:$F$38,'6.Change PH Exits'!$H$1:$L$38,'6.Change PH Exits'!$N$1:$Q$38</definedName>
    <definedName name="_xlnm.Print_Area" localSheetId="8">'7.Change LOS'!$A$1:$F$55,'7.Change LOS'!$H:$L,'7.Change LOS'!$N:$Q</definedName>
    <definedName name="_xlnm.Print_Area" localSheetId="9">'8.Change Investments'!$A$1:$F$66,'8.Change Investments'!$H$1:$L$66,'8.Change Investments'!$N$1:$Q$66</definedName>
    <definedName name="_xlnm.Print_Area" localSheetId="10">'9.Change Returns to Hmls'!$A$1:$F$38,'9.Change Returns to Hmls'!$H$1:$L$38,'9.Change Returns to Hmls'!$N$1:$Q$38</definedName>
    <definedName name="_xlnm.Print_Titles" localSheetId="11">'10.Summary of Changes'!$1:$2</definedName>
    <definedName name="_xlnm.Print_Titles" localSheetId="12">'11.Change All Calculator'!$1:$1</definedName>
    <definedName name="_xlnm.Print_Titles" localSheetId="5">'4.Current Outcomes'!$2:$9</definedName>
    <definedName name="_xlnm.Print_Titles" localSheetId="6">'5.Current Investments &amp; Costs'!$2:$2</definedName>
    <definedName name="_xlnm.Print_Titles" localSheetId="7">'6.Change PH Exits'!$2:$6</definedName>
    <definedName name="_xlnm.Print_Titles" localSheetId="8">'7.Change LOS'!$2:$6</definedName>
    <definedName name="_xlnm.Print_Titles" localSheetId="9">'8.Change Investments'!$2:$8</definedName>
    <definedName name="_xlnm.Print_Titles" localSheetId="10">'9.Change Returns to Hmls'!$2:$6</definedName>
  </definedNames>
  <calcPr calcId="152511"/>
</workbook>
</file>

<file path=xl/calcChain.xml><?xml version="1.0" encoding="utf-8"?>
<calcChain xmlns="http://schemas.openxmlformats.org/spreadsheetml/2006/main">
  <c r="G23" i="22" l="1"/>
  <c r="D14" i="22"/>
  <c r="E14" i="22"/>
  <c r="D7" i="16" s="1"/>
  <c r="CI6" i="23" s="1"/>
  <c r="D15" i="22"/>
  <c r="J6" i="16" s="1"/>
  <c r="CJ5" i="23" s="1"/>
  <c r="E15" i="22"/>
  <c r="J7" i="16" s="1"/>
  <c r="CJ6" i="23" s="1"/>
  <c r="C15" i="22"/>
  <c r="J5" i="16" s="1"/>
  <c r="CJ4" i="23" s="1"/>
  <c r="C14" i="22"/>
  <c r="D5" i="16" s="1"/>
  <c r="CI4" i="23" s="1"/>
  <c r="C23" i="31"/>
  <c r="D23" i="31"/>
  <c r="D26" i="31" s="1"/>
  <c r="E23" i="31"/>
  <c r="B23" i="31"/>
  <c r="C16" i="31"/>
  <c r="D16" i="31"/>
  <c r="E16" i="31"/>
  <c r="B16" i="31"/>
  <c r="D25" i="22"/>
  <c r="E25" i="22"/>
  <c r="C25" i="22"/>
  <c r="C26" i="22"/>
  <c r="D19" i="22"/>
  <c r="E19" i="22"/>
  <c r="C19" i="22"/>
  <c r="D13" i="22"/>
  <c r="E13" i="22"/>
  <c r="C13" i="22"/>
  <c r="D10" i="22"/>
  <c r="E10" i="22"/>
  <c r="F10" i="22"/>
  <c r="C10" i="22"/>
  <c r="D7" i="22"/>
  <c r="E7" i="22"/>
  <c r="F7" i="22"/>
  <c r="H10" i="22" s="1"/>
  <c r="C7" i="22"/>
  <c r="D27" i="22"/>
  <c r="D33" i="22" s="1"/>
  <c r="E27" i="22"/>
  <c r="E33" i="22" s="1"/>
  <c r="D26" i="22"/>
  <c r="E26" i="22"/>
  <c r="D21" i="22"/>
  <c r="E21" i="22"/>
  <c r="D20" i="22"/>
  <c r="E20" i="22"/>
  <c r="C20" i="22"/>
  <c r="H9" i="22"/>
  <c r="H8" i="22"/>
  <c r="C21" i="22"/>
  <c r="D16" i="22" l="1"/>
  <c r="P6" i="16" s="1"/>
  <c r="CK5" i="23" s="1"/>
  <c r="D6" i="16"/>
  <c r="CI5" i="23" s="1"/>
  <c r="C16" i="22"/>
  <c r="P5" i="16" s="1"/>
  <c r="CK4" i="23" s="1"/>
  <c r="E16" i="22"/>
  <c r="P7" i="16" s="1"/>
  <c r="CK6" i="23" s="1"/>
  <c r="C22" i="22"/>
  <c r="G25" i="22"/>
  <c r="G7" i="22"/>
  <c r="C27" i="22"/>
  <c r="C33" i="22" s="1"/>
  <c r="C30" i="22" s="1"/>
  <c r="CN7" i="23"/>
  <c r="CN6" i="23"/>
  <c r="CP13" i="23" s="1"/>
  <c r="CN5" i="23"/>
  <c r="CP12" i="23" s="1"/>
  <c r="CN4" i="23"/>
  <c r="CO11" i="23" s="1"/>
  <c r="CO7" i="23"/>
  <c r="CO6" i="23"/>
  <c r="CP20" i="23" s="1"/>
  <c r="CO5" i="23"/>
  <c r="CP19" i="23" s="1"/>
  <c r="CO4" i="23"/>
  <c r="CP18" i="23" s="1"/>
  <c r="BZ83" i="23"/>
  <c r="BT112" i="23" s="1"/>
  <c r="BK83" i="23"/>
  <c r="AV40" i="23" s="1"/>
  <c r="BZ75" i="23"/>
  <c r="BT97" i="23" s="1"/>
  <c r="BK75" i="23"/>
  <c r="BZ131" i="23"/>
  <c r="BZ115" i="23"/>
  <c r="BZ119" i="23"/>
  <c r="BZ122" i="23"/>
  <c r="BZ100" i="23"/>
  <c r="BZ101" i="23"/>
  <c r="BZ104" i="23"/>
  <c r="BZ137" i="23"/>
  <c r="BZ136" i="23"/>
  <c r="BZ134" i="23"/>
  <c r="BZ133" i="23"/>
  <c r="BZ130" i="23"/>
  <c r="BZ121" i="23"/>
  <c r="BZ118" i="23"/>
  <c r="BZ116" i="23"/>
  <c r="BZ107" i="23"/>
  <c r="BZ106" i="23"/>
  <c r="BZ103" i="23"/>
  <c r="CP6" i="23" l="1"/>
  <c r="CO12" i="23"/>
  <c r="CO13" i="23"/>
  <c r="CP5" i="23"/>
  <c r="CO19" i="23"/>
  <c r="CP11" i="23"/>
  <c r="CP7" i="23"/>
  <c r="CP4" i="23"/>
  <c r="CO20" i="23"/>
  <c r="CO18" i="23"/>
  <c r="BK91" i="23"/>
  <c r="AV54" i="23" s="1"/>
  <c r="BZ91" i="23"/>
  <c r="BT127" i="23" s="1"/>
  <c r="AV26" i="23"/>
  <c r="BE97" i="23"/>
  <c r="BK137" i="23"/>
  <c r="BK136" i="23"/>
  <c r="BK134" i="23"/>
  <c r="BK133" i="23"/>
  <c r="BK131" i="23"/>
  <c r="BK130" i="23"/>
  <c r="BK122" i="23"/>
  <c r="BK121" i="23"/>
  <c r="BK119" i="23"/>
  <c r="BK118" i="23"/>
  <c r="BK116" i="23"/>
  <c r="BK115" i="23"/>
  <c r="BK100" i="23"/>
  <c r="BK101" i="23"/>
  <c r="BK103" i="23"/>
  <c r="BK104" i="23"/>
  <c r="BK106" i="23"/>
  <c r="BK107" i="23"/>
  <c r="G5" i="22" l="1"/>
  <c r="C19" i="31" l="1"/>
  <c r="D19" i="31"/>
  <c r="E19" i="31"/>
  <c r="B19" i="31"/>
  <c r="E26" i="31"/>
  <c r="C26" i="31"/>
  <c r="B26" i="31"/>
  <c r="P15" i="29" l="1"/>
  <c r="P16" i="29"/>
  <c r="P17" i="29"/>
  <c r="P14" i="29"/>
  <c r="K18" i="29"/>
  <c r="E18" i="29"/>
  <c r="L7" i="16"/>
  <c r="L6" i="16"/>
  <c r="L5" i="16"/>
  <c r="K7" i="16"/>
  <c r="K6" i="16"/>
  <c r="K5" i="16"/>
  <c r="F7" i="16"/>
  <c r="F6" i="16"/>
  <c r="F5" i="16"/>
  <c r="E7" i="16"/>
  <c r="E6" i="16"/>
  <c r="E5" i="16"/>
  <c r="C7" i="16"/>
  <c r="I7" i="16"/>
  <c r="C6" i="16"/>
  <c r="I6" i="16"/>
  <c r="C5" i="16"/>
  <c r="I5" i="16"/>
  <c r="I100" i="10"/>
  <c r="I101" i="10"/>
  <c r="I102" i="10"/>
  <c r="I99" i="10"/>
  <c r="D102" i="10"/>
  <c r="D100" i="10"/>
  <c r="D101" i="10"/>
  <c r="D99" i="10"/>
  <c r="Q5" i="16" l="1"/>
  <c r="R6" i="16"/>
  <c r="E9" i="16"/>
  <c r="F9" i="16"/>
  <c r="Q6" i="16"/>
  <c r="C8" i="16"/>
  <c r="BU38" i="23"/>
  <c r="BV38" i="23" s="1"/>
  <c r="I8" i="16"/>
  <c r="I9" i="16" s="1"/>
  <c r="BU54" i="23"/>
  <c r="BV54" i="23" s="1"/>
  <c r="P18" i="29"/>
  <c r="O5" i="16"/>
  <c r="O6" i="16"/>
  <c r="R7" i="16"/>
  <c r="R5" i="16"/>
  <c r="K9" i="16"/>
  <c r="L9" i="16"/>
  <c r="Q7" i="16"/>
  <c r="O7" i="16"/>
  <c r="R14" i="23"/>
  <c r="R13" i="23"/>
  <c r="R12" i="23"/>
  <c r="R7" i="23"/>
  <c r="BF7" i="23" s="1"/>
  <c r="BF105" i="23" s="1"/>
  <c r="R6" i="23"/>
  <c r="BF6" i="23" s="1"/>
  <c r="BF102" i="23" s="1"/>
  <c r="R5" i="23"/>
  <c r="BF5" i="23" s="1"/>
  <c r="BF99" i="23" s="1"/>
  <c r="E14" i="23"/>
  <c r="E13" i="23"/>
  <c r="E12" i="23"/>
  <c r="E7" i="23"/>
  <c r="E6" i="23"/>
  <c r="E5" i="23"/>
  <c r="CJ13" i="23"/>
  <c r="CJ12" i="23"/>
  <c r="CJ11" i="23"/>
  <c r="CI13" i="23"/>
  <c r="CI12" i="23"/>
  <c r="CI11" i="23"/>
  <c r="BL102" i="23" l="1"/>
  <c r="BL105" i="23"/>
  <c r="BF108" i="23"/>
  <c r="BL99" i="23"/>
  <c r="BU7" i="23"/>
  <c r="BF28" i="23"/>
  <c r="BU6" i="23"/>
  <c r="BF27" i="23"/>
  <c r="BU5" i="23"/>
  <c r="BF26" i="23"/>
  <c r="Q9" i="16"/>
  <c r="R9" i="16"/>
  <c r="O8" i="16"/>
  <c r="O9" i="16" s="1"/>
  <c r="C9" i="16"/>
  <c r="CK13" i="23"/>
  <c r="CK12" i="23"/>
  <c r="CK11" i="23"/>
  <c r="BU28" i="23" l="1"/>
  <c r="BX28" i="23" s="1"/>
  <c r="BU105" i="23"/>
  <c r="CA105" i="23" s="1"/>
  <c r="BU27" i="23"/>
  <c r="BX27" i="23" s="1"/>
  <c r="BU102" i="23"/>
  <c r="CA102" i="23" s="1"/>
  <c r="BU26" i="23"/>
  <c r="BX26" i="23" s="1"/>
  <c r="BU99" i="23"/>
  <c r="BF29" i="23"/>
  <c r="BL108" i="23"/>
  <c r="CA99" i="23" l="1"/>
  <c r="BU108" i="23"/>
  <c r="CA108" i="23" s="1"/>
  <c r="BU29" i="23"/>
  <c r="BX29" i="23" s="1"/>
  <c r="AW12" i="23"/>
  <c r="CJ18" i="23"/>
  <c r="N99" i="10"/>
  <c r="I103" i="10"/>
  <c r="D103" i="10"/>
  <c r="N102" i="10"/>
  <c r="N101" i="10"/>
  <c r="N100" i="10"/>
  <c r="J4" i="7"/>
  <c r="J4" i="29" s="1"/>
  <c r="BY12" i="23" s="1"/>
  <c r="H106" i="10" l="1"/>
  <c r="AI12" i="23"/>
  <c r="N103" i="10"/>
  <c r="I106" i="10" l="1"/>
  <c r="BJ12" i="23" s="1"/>
  <c r="E8" i="9"/>
  <c r="K8" i="9"/>
  <c r="P5" i="9"/>
  <c r="P6" i="9"/>
  <c r="P7" i="9"/>
  <c r="P4" i="9"/>
  <c r="G13" i="23"/>
  <c r="G14" i="23"/>
  <c r="G15" i="23"/>
  <c r="G12" i="23"/>
  <c r="G6" i="23"/>
  <c r="G7" i="23"/>
  <c r="G8" i="23"/>
  <c r="G5" i="23"/>
  <c r="P8" i="9" l="1"/>
  <c r="AD14" i="23" l="1"/>
  <c r="AD13" i="23"/>
  <c r="AS13" i="23" s="1"/>
  <c r="AD12" i="23"/>
  <c r="AS12" i="23" s="1"/>
  <c r="AD7" i="23"/>
  <c r="AD6" i="23"/>
  <c r="AS6" i="23" s="1"/>
  <c r="AD5" i="23"/>
  <c r="AB26" i="23" s="1"/>
  <c r="D37" i="23"/>
  <c r="G37" i="23" s="1"/>
  <c r="O14" i="23"/>
  <c r="O13" i="23"/>
  <c r="O12" i="23"/>
  <c r="AC12" i="23" s="1"/>
  <c r="AR12" i="23" s="1"/>
  <c r="O7" i="23"/>
  <c r="AC7" i="23" s="1"/>
  <c r="O6" i="23"/>
  <c r="O5" i="23"/>
  <c r="N14" i="23"/>
  <c r="N13" i="23"/>
  <c r="N12" i="23"/>
  <c r="N7" i="23"/>
  <c r="N6" i="23"/>
  <c r="N5" i="23"/>
  <c r="D43" i="23"/>
  <c r="D32" i="23"/>
  <c r="G20" i="23"/>
  <c r="G21" i="23"/>
  <c r="G22" i="23"/>
  <c r="G19" i="23"/>
  <c r="D39" i="23"/>
  <c r="G39" i="23" s="1"/>
  <c r="D38" i="23"/>
  <c r="G38" i="23" s="1"/>
  <c r="D27" i="23"/>
  <c r="D15" i="23"/>
  <c r="D14" i="23"/>
  <c r="D13" i="23"/>
  <c r="D12" i="23"/>
  <c r="D8" i="23"/>
  <c r="D7" i="23"/>
  <c r="D6" i="23"/>
  <c r="D5" i="23"/>
  <c r="C32" i="22"/>
  <c r="D32" i="22"/>
  <c r="E32" i="22"/>
  <c r="G24" i="22"/>
  <c r="CP27" i="23"/>
  <c r="CP26" i="23"/>
  <c r="CP25" i="23"/>
  <c r="G17" i="22"/>
  <c r="G26" i="22" s="1"/>
  <c r="G18" i="22"/>
  <c r="CO27" i="23"/>
  <c r="CO26" i="23"/>
  <c r="CO25" i="23"/>
  <c r="G11" i="22"/>
  <c r="G12" i="22"/>
  <c r="G6" i="22"/>
  <c r="J8" i="23"/>
  <c r="E33" i="23" s="1"/>
  <c r="G8" i="22"/>
  <c r="J15" i="23"/>
  <c r="E44" i="23" s="1"/>
  <c r="G9" i="22"/>
  <c r="G32" i="22" l="1"/>
  <c r="G27" i="22"/>
  <c r="G33" i="22" s="1"/>
  <c r="G15" i="22"/>
  <c r="J9" i="16" s="1"/>
  <c r="G14" i="22"/>
  <c r="G20" i="22"/>
  <c r="D6" i="9"/>
  <c r="D16" i="29" s="1"/>
  <c r="F7" i="23"/>
  <c r="S7" i="23" s="1"/>
  <c r="F6" i="23"/>
  <c r="F13" i="23"/>
  <c r="G21" i="22"/>
  <c r="F5" i="23"/>
  <c r="S5" i="23" s="1"/>
  <c r="F12" i="23"/>
  <c r="G27" i="23"/>
  <c r="P12" i="23"/>
  <c r="Q12" i="23" s="1"/>
  <c r="N68" i="23" s="1"/>
  <c r="AB7" i="23"/>
  <c r="AQ7" i="23" s="1"/>
  <c r="P7" i="23"/>
  <c r="Q7" i="23" s="1"/>
  <c r="N64" i="23" s="1"/>
  <c r="AB6" i="23"/>
  <c r="AQ6" i="23" s="1"/>
  <c r="P6" i="23"/>
  <c r="Q6" i="23" s="1"/>
  <c r="N63" i="23" s="1"/>
  <c r="AB5" i="23"/>
  <c r="AQ5" i="23" s="1"/>
  <c r="P5" i="23"/>
  <c r="Q5" i="23" s="1"/>
  <c r="N62" i="23" s="1"/>
  <c r="AB14" i="23"/>
  <c r="AQ14" i="23" s="1"/>
  <c r="P14" i="23"/>
  <c r="Q14" i="23" s="1"/>
  <c r="N70" i="23" s="1"/>
  <c r="AB13" i="23"/>
  <c r="AQ13" i="23" s="1"/>
  <c r="P13" i="23"/>
  <c r="Q13" i="23" s="1"/>
  <c r="N69" i="23" s="1"/>
  <c r="J6" i="9"/>
  <c r="J16" i="29" s="1"/>
  <c r="L16" i="29" s="1"/>
  <c r="F14" i="23"/>
  <c r="S14" i="23" s="1"/>
  <c r="O4" i="7"/>
  <c r="O4" i="29" s="1"/>
  <c r="AE14" i="23"/>
  <c r="AT14" i="23" s="1"/>
  <c r="AQ42" i="23" s="1"/>
  <c r="BU85" i="23" s="1"/>
  <c r="BX85" i="23" s="1"/>
  <c r="AE7" i="23"/>
  <c r="AT7" i="23" s="1"/>
  <c r="AQ28" i="23" s="1"/>
  <c r="D30" i="22"/>
  <c r="AE5" i="23"/>
  <c r="D4" i="28" s="1"/>
  <c r="AR7" i="23"/>
  <c r="D54" i="23"/>
  <c r="BF70" i="23" s="1"/>
  <c r="BG70" i="23" s="1"/>
  <c r="BU70" i="23"/>
  <c r="BV70" i="23" s="1"/>
  <c r="C28" i="22"/>
  <c r="AH19" i="23" s="1"/>
  <c r="AH6" i="23"/>
  <c r="AW13" i="23"/>
  <c r="CJ19" i="23"/>
  <c r="J5" i="7"/>
  <c r="AH7" i="23"/>
  <c r="CJ20" i="23"/>
  <c r="AW14" i="23"/>
  <c r="J6" i="7"/>
  <c r="J6" i="29" s="1"/>
  <c r="BY14" i="23" s="1"/>
  <c r="CI18" i="23"/>
  <c r="AW5" i="23"/>
  <c r="D4" i="7"/>
  <c r="D22" i="22"/>
  <c r="O5" i="7" s="1"/>
  <c r="O5" i="29" s="1"/>
  <c r="C34" i="22"/>
  <c r="E22" i="22"/>
  <c r="O6" i="7" s="1"/>
  <c r="O6" i="29" s="1"/>
  <c r="AE6" i="23"/>
  <c r="AT6" i="23" s="1"/>
  <c r="AQ27" i="23" s="1"/>
  <c r="J22" i="23"/>
  <c r="E55" i="23" s="1"/>
  <c r="AH13" i="23"/>
  <c r="CI19" i="23"/>
  <c r="AW6" i="23"/>
  <c r="D5" i="7"/>
  <c r="AH12" i="23"/>
  <c r="E30" i="22"/>
  <c r="AH14" i="23"/>
  <c r="AH5" i="23"/>
  <c r="CI20" i="23"/>
  <c r="AW7" i="23"/>
  <c r="D6" i="7"/>
  <c r="D6" i="29" s="1"/>
  <c r="BY7" i="23" s="1"/>
  <c r="AE13" i="23"/>
  <c r="AT13" i="23" s="1"/>
  <c r="AQ41" i="23" s="1"/>
  <c r="BU84" i="23" s="1"/>
  <c r="BX84" i="23" s="1"/>
  <c r="D29" i="22"/>
  <c r="AE12" i="23"/>
  <c r="AT12" i="23" s="1"/>
  <c r="AQ40" i="23" s="1"/>
  <c r="AS14" i="23"/>
  <c r="AE26" i="23"/>
  <c r="AS5" i="23"/>
  <c r="AB39" i="23"/>
  <c r="AE39" i="23" s="1"/>
  <c r="AB28" i="23"/>
  <c r="AE28" i="23" s="1"/>
  <c r="AS7" i="23"/>
  <c r="AJ12" i="23"/>
  <c r="AC38" i="23" s="1"/>
  <c r="AF38" i="23" s="1"/>
  <c r="AB38" i="23"/>
  <c r="AE38" i="23" s="1"/>
  <c r="AY12" i="23"/>
  <c r="AB27" i="23"/>
  <c r="AB40" i="23"/>
  <c r="R19" i="23"/>
  <c r="N39" i="23"/>
  <c r="Q39" i="23" s="1"/>
  <c r="BF13" i="23"/>
  <c r="AD21" i="23"/>
  <c r="N38" i="23"/>
  <c r="Q38" i="23" s="1"/>
  <c r="BF12" i="23"/>
  <c r="E43" i="23"/>
  <c r="BF54" i="23"/>
  <c r="BG54" i="23" s="1"/>
  <c r="N28" i="23"/>
  <c r="Q28" i="23" s="1"/>
  <c r="E32" i="23"/>
  <c r="BF38" i="23"/>
  <c r="BG38" i="23" s="1"/>
  <c r="N40" i="23"/>
  <c r="BF14" i="23"/>
  <c r="R20" i="23"/>
  <c r="H15" i="23"/>
  <c r="J7" i="9"/>
  <c r="J17" i="29" s="1"/>
  <c r="L17" i="29" s="1"/>
  <c r="H6" i="23"/>
  <c r="D5" i="9"/>
  <c r="D15" i="29" s="1"/>
  <c r="H13" i="23"/>
  <c r="J5" i="9"/>
  <c r="J15" i="29" s="1"/>
  <c r="L15" i="29" s="1"/>
  <c r="E21" i="23"/>
  <c r="D50" i="23" s="1"/>
  <c r="G50" i="23" s="1"/>
  <c r="N27" i="23"/>
  <c r="Q27" i="23" s="1"/>
  <c r="H8" i="23"/>
  <c r="D7" i="9"/>
  <c r="D17" i="29" s="1"/>
  <c r="H5" i="23"/>
  <c r="D4" i="9"/>
  <c r="D14" i="29" s="1"/>
  <c r="H12" i="23"/>
  <c r="J4" i="9"/>
  <c r="J14" i="29" s="1"/>
  <c r="N21" i="23"/>
  <c r="O19" i="23"/>
  <c r="N26" i="23"/>
  <c r="Q26" i="23" s="1"/>
  <c r="AC14" i="23"/>
  <c r="AR14" i="23" s="1"/>
  <c r="AD20" i="23"/>
  <c r="AS20" i="23" s="1"/>
  <c r="N19" i="23"/>
  <c r="AC5" i="23"/>
  <c r="AC19" i="23" s="1"/>
  <c r="AC13" i="23"/>
  <c r="AR13" i="23" s="1"/>
  <c r="R21" i="23"/>
  <c r="AD19" i="23"/>
  <c r="AS19" i="23" s="1"/>
  <c r="N20" i="23"/>
  <c r="AB12" i="23"/>
  <c r="AQ12" i="23" s="1"/>
  <c r="AC6" i="23"/>
  <c r="O20" i="23"/>
  <c r="O21" i="23"/>
  <c r="E19" i="23"/>
  <c r="D48" i="23" s="1"/>
  <c r="G48" i="23" s="1"/>
  <c r="D26" i="23"/>
  <c r="D22" i="23"/>
  <c r="H7" i="23"/>
  <c r="H14" i="23"/>
  <c r="D40" i="23"/>
  <c r="G40" i="23" s="1"/>
  <c r="D20" i="23"/>
  <c r="E20" i="23"/>
  <c r="D49" i="23" s="1"/>
  <c r="G49" i="23" s="1"/>
  <c r="D28" i="23"/>
  <c r="D19" i="23"/>
  <c r="D21" i="23"/>
  <c r="E34" i="22"/>
  <c r="D34" i="22"/>
  <c r="E29" i="22"/>
  <c r="E31" i="22" s="1"/>
  <c r="D28" i="22"/>
  <c r="C29" i="22"/>
  <c r="E28" i="22"/>
  <c r="G10" i="22"/>
  <c r="G19" i="22"/>
  <c r="G13" i="22"/>
  <c r="G28" i="22" l="1"/>
  <c r="G30" i="22"/>
  <c r="G34" i="22"/>
  <c r="C31" i="22"/>
  <c r="G29" i="22"/>
  <c r="G16" i="22"/>
  <c r="P9" i="16" s="1"/>
  <c r="D9" i="16"/>
  <c r="Q62" i="23"/>
  <c r="N65" i="23"/>
  <c r="Q65" i="23" s="1"/>
  <c r="Q70" i="23"/>
  <c r="Q63" i="23"/>
  <c r="N71" i="23"/>
  <c r="Q68" i="23"/>
  <c r="Q69" i="23"/>
  <c r="Q64" i="23"/>
  <c r="D31" i="22"/>
  <c r="F6" i="9"/>
  <c r="D61" i="23" s="1"/>
  <c r="I6" i="23"/>
  <c r="E27" i="23" s="1"/>
  <c r="F27" i="23" s="1"/>
  <c r="I12" i="23"/>
  <c r="E37" i="23" s="1"/>
  <c r="F37" i="23" s="1"/>
  <c r="O16" i="29"/>
  <c r="Q16" i="29" s="1"/>
  <c r="BW21" i="23" s="1"/>
  <c r="I13" i="23"/>
  <c r="F16" i="29"/>
  <c r="BU145" i="23" s="1"/>
  <c r="C101" i="10"/>
  <c r="E101" i="10" s="1"/>
  <c r="BH7" i="23" s="1"/>
  <c r="BL7" i="23" s="1"/>
  <c r="F21" i="23"/>
  <c r="S21" i="23" s="1"/>
  <c r="G28" i="23"/>
  <c r="F20" i="23"/>
  <c r="S20" i="23" s="1"/>
  <c r="G26" i="23"/>
  <c r="I7" i="23"/>
  <c r="E28" i="23" s="1"/>
  <c r="F28" i="23" s="1"/>
  <c r="I5" i="23"/>
  <c r="D6" i="28"/>
  <c r="C113" i="10" s="1"/>
  <c r="AK12" i="23"/>
  <c r="AC44" i="23" s="1"/>
  <c r="AF44" i="23" s="1"/>
  <c r="AB21" i="23"/>
  <c r="AQ21" i="23" s="1"/>
  <c r="P21" i="23"/>
  <c r="Q21" i="23" s="1"/>
  <c r="N76" i="23" s="1"/>
  <c r="AB20" i="23"/>
  <c r="AQ20" i="23" s="1"/>
  <c r="P20" i="23"/>
  <c r="Q20" i="23" s="1"/>
  <c r="AB19" i="23"/>
  <c r="AQ19" i="23" s="1"/>
  <c r="P19" i="23"/>
  <c r="Q19" i="23" s="1"/>
  <c r="I14" i="23"/>
  <c r="BW14" i="23"/>
  <c r="CA14" i="23" s="1"/>
  <c r="BV145" i="23"/>
  <c r="H19" i="23"/>
  <c r="F19" i="23"/>
  <c r="O6" i="9"/>
  <c r="Q6" i="9" s="1"/>
  <c r="L6" i="9"/>
  <c r="E61" i="23" s="1"/>
  <c r="H101" i="10"/>
  <c r="BW13" i="23"/>
  <c r="CA13" i="23" s="1"/>
  <c r="BV144" i="23"/>
  <c r="BW15" i="23"/>
  <c r="BV146" i="23"/>
  <c r="BU83" i="23"/>
  <c r="BX83" i="23" s="1"/>
  <c r="BF83" i="23"/>
  <c r="BF77" i="23"/>
  <c r="BI77" i="23" s="1"/>
  <c r="BU77" i="23"/>
  <c r="BX77" i="23" s="1"/>
  <c r="BF76" i="23"/>
  <c r="BI76" i="23" s="1"/>
  <c r="BU76" i="23"/>
  <c r="BX76" i="23" s="1"/>
  <c r="AT5" i="23"/>
  <c r="AQ26" i="23" s="1"/>
  <c r="AQ29" i="23" s="1"/>
  <c r="BU13" i="23"/>
  <c r="BF117" i="23"/>
  <c r="BU14" i="23"/>
  <c r="BF120" i="23"/>
  <c r="BU12" i="23"/>
  <c r="BF114" i="23"/>
  <c r="AT42" i="23"/>
  <c r="BF85" i="23"/>
  <c r="BI85" i="23" s="1"/>
  <c r="AT41" i="23"/>
  <c r="BF84" i="23"/>
  <c r="BI84" i="23" s="1"/>
  <c r="AT40" i="23"/>
  <c r="AX5" i="23"/>
  <c r="C111" i="10"/>
  <c r="AF5" i="23"/>
  <c r="AU5" i="23" s="1"/>
  <c r="AE19" i="23"/>
  <c r="AT19" i="23" s="1"/>
  <c r="AQ54" i="23" s="1"/>
  <c r="AF7" i="23"/>
  <c r="AU7" i="23" s="1"/>
  <c r="AY13" i="23"/>
  <c r="AF14" i="23"/>
  <c r="AU14" i="23" s="1"/>
  <c r="J6" i="28"/>
  <c r="AI5" i="23"/>
  <c r="AJ5" i="23" s="1"/>
  <c r="AK5" i="23" s="1"/>
  <c r="D4" i="29"/>
  <c r="BY5" i="23" s="1"/>
  <c r="AI13" i="23"/>
  <c r="AJ13" i="23" s="1"/>
  <c r="J5" i="29"/>
  <c r="BY13" i="23" s="1"/>
  <c r="AI6" i="23"/>
  <c r="AJ6" i="23" s="1"/>
  <c r="AK6" i="23" s="1"/>
  <c r="D5" i="29"/>
  <c r="BY6" i="23" s="1"/>
  <c r="AC21" i="23"/>
  <c r="AR21" i="23" s="1"/>
  <c r="AY7" i="23"/>
  <c r="AZ7" i="23" s="1"/>
  <c r="AR6" i="23"/>
  <c r="AY6" i="23" s="1"/>
  <c r="AC20" i="23"/>
  <c r="AR20" i="23" s="1"/>
  <c r="E54" i="23"/>
  <c r="O14" i="29"/>
  <c r="F14" i="29"/>
  <c r="BU143" i="23" s="1"/>
  <c r="D18" i="29"/>
  <c r="L14" i="29"/>
  <c r="BV143" i="23" s="1"/>
  <c r="J18" i="29"/>
  <c r="O17" i="29"/>
  <c r="Q17" i="29" s="1"/>
  <c r="BW22" i="23" s="1"/>
  <c r="F17" i="29"/>
  <c r="F15" i="29"/>
  <c r="O15" i="29"/>
  <c r="Q15" i="29" s="1"/>
  <c r="BW20" i="23" s="1"/>
  <c r="G22" i="22"/>
  <c r="J4" i="28"/>
  <c r="J5" i="28"/>
  <c r="AF6" i="23"/>
  <c r="AQ43" i="23"/>
  <c r="AF13" i="23"/>
  <c r="AU13" i="23" s="1"/>
  <c r="D5" i="28"/>
  <c r="AH20" i="23"/>
  <c r="AE20" i="23"/>
  <c r="C106" i="10"/>
  <c r="D106" i="10" s="1"/>
  <c r="BJ5" i="23" s="1"/>
  <c r="H107" i="10"/>
  <c r="I107" i="10" s="1"/>
  <c r="BJ13" i="23" s="1"/>
  <c r="AH21" i="23"/>
  <c r="AE21" i="23"/>
  <c r="C108" i="10"/>
  <c r="D108" i="10" s="1"/>
  <c r="BJ7" i="23" s="1"/>
  <c r="AI7" i="23"/>
  <c r="AJ7" i="23" s="1"/>
  <c r="AK7" i="23" s="1"/>
  <c r="AW20" i="23"/>
  <c r="CK19" i="23"/>
  <c r="AW19" i="23"/>
  <c r="CK18" i="23"/>
  <c r="C107" i="10"/>
  <c r="D107" i="10" s="1"/>
  <c r="BJ6" i="23" s="1"/>
  <c r="AI14" i="23"/>
  <c r="AJ14" i="23" s="1"/>
  <c r="H108" i="10"/>
  <c r="I108" i="10" s="1"/>
  <c r="BJ14" i="23" s="1"/>
  <c r="CK20" i="23"/>
  <c r="AW21" i="23"/>
  <c r="AY14" i="23"/>
  <c r="AZ14" i="23" s="1"/>
  <c r="AF12" i="23"/>
  <c r="AU12" i="23" s="1"/>
  <c r="BG114" i="23" s="1"/>
  <c r="BV114" i="23" s="1"/>
  <c r="CB114" i="23" s="1"/>
  <c r="H99" i="10"/>
  <c r="J99" i="10" s="1"/>
  <c r="BH12" i="23" s="1"/>
  <c r="BL12" i="23" s="1"/>
  <c r="C102" i="10"/>
  <c r="E102" i="10" s="1"/>
  <c r="BH8" i="23" s="1"/>
  <c r="BL8" i="23" s="1"/>
  <c r="C100" i="10"/>
  <c r="E100" i="10" s="1"/>
  <c r="BH6" i="23" s="1"/>
  <c r="BL6" i="23" s="1"/>
  <c r="AS21" i="23"/>
  <c r="C99" i="10"/>
  <c r="E99" i="10" s="1"/>
  <c r="BH5" i="23" s="1"/>
  <c r="BL5" i="23" s="1"/>
  <c r="BF42" i="23"/>
  <c r="BI42" i="23" s="1"/>
  <c r="AT27" i="23"/>
  <c r="AL12" i="23"/>
  <c r="AM12" i="23" s="1"/>
  <c r="AR5" i="23"/>
  <c r="BF43" i="23"/>
  <c r="BI43" i="23" s="1"/>
  <c r="BI26" i="23"/>
  <c r="AT28" i="23"/>
  <c r="AG38" i="23"/>
  <c r="AD38" i="23"/>
  <c r="AE40" i="23"/>
  <c r="AE27" i="23"/>
  <c r="AB51" i="23"/>
  <c r="BF59" i="23" s="1"/>
  <c r="BI59" i="23" s="1"/>
  <c r="BF44" i="23"/>
  <c r="BI44" i="23" s="1"/>
  <c r="BI27" i="23"/>
  <c r="AB50" i="23"/>
  <c r="BF58" i="23" s="1"/>
  <c r="BI58" i="23" s="1"/>
  <c r="Q40" i="23"/>
  <c r="AB52" i="23"/>
  <c r="N41" i="23"/>
  <c r="Q41" i="23" s="1"/>
  <c r="N46" i="23"/>
  <c r="AB46" i="23" s="1"/>
  <c r="BG14" i="23"/>
  <c r="BV14" i="23" s="1"/>
  <c r="BU50" i="23" s="1"/>
  <c r="N52" i="23"/>
  <c r="BF21" i="23"/>
  <c r="AB29" i="23"/>
  <c r="BI28" i="23"/>
  <c r="N32" i="23"/>
  <c r="AB32" i="23" s="1"/>
  <c r="BG5" i="23"/>
  <c r="BV5" i="23" s="1"/>
  <c r="BU32" i="23" s="1"/>
  <c r="N34" i="23"/>
  <c r="AB34" i="23" s="1"/>
  <c r="BG7" i="23"/>
  <c r="BV7" i="23" s="1"/>
  <c r="BU34" i="23" s="1"/>
  <c r="L5" i="9"/>
  <c r="E60" i="23" s="1"/>
  <c r="H100" i="10"/>
  <c r="J100" i="10" s="1"/>
  <c r="BH13" i="23" s="1"/>
  <c r="BL13" i="23" s="1"/>
  <c r="L7" i="9"/>
  <c r="E62" i="23" s="1"/>
  <c r="H102" i="10"/>
  <c r="J102" i="10" s="1"/>
  <c r="BH15" i="23" s="1"/>
  <c r="N51" i="23"/>
  <c r="Q51" i="23" s="1"/>
  <c r="BF20" i="23"/>
  <c r="N50" i="23"/>
  <c r="Q50" i="23" s="1"/>
  <c r="BF19" i="23"/>
  <c r="AB41" i="23"/>
  <c r="J6" i="8"/>
  <c r="J11" i="29" s="1"/>
  <c r="BX14" i="23" s="1"/>
  <c r="CB14" i="23" s="1"/>
  <c r="T14" i="23"/>
  <c r="O4" i="9"/>
  <c r="Q4" i="9" s="1"/>
  <c r="F4" i="9"/>
  <c r="D59" i="23" s="1"/>
  <c r="T6" i="23"/>
  <c r="O63" i="23" s="1"/>
  <c r="R63" i="23" s="1"/>
  <c r="D5" i="8"/>
  <c r="D10" i="29" s="1"/>
  <c r="BX6" i="23" s="1"/>
  <c r="CB6" i="23" s="1"/>
  <c r="F5" i="9"/>
  <c r="D60" i="23" s="1"/>
  <c r="O5" i="9"/>
  <c r="J5" i="8"/>
  <c r="J10" i="29" s="1"/>
  <c r="BX13" i="23" s="1"/>
  <c r="CB13" i="23" s="1"/>
  <c r="T13" i="23"/>
  <c r="AR19" i="23"/>
  <c r="L4" i="9"/>
  <c r="E59" i="23" s="1"/>
  <c r="J8" i="9"/>
  <c r="O7" i="9"/>
  <c r="Q7" i="9" s="1"/>
  <c r="F7" i="9"/>
  <c r="D62" i="23" s="1"/>
  <c r="H22" i="23"/>
  <c r="N29" i="23"/>
  <c r="Q29" i="23" s="1"/>
  <c r="S6" i="23"/>
  <c r="AG7" i="23"/>
  <c r="AV7" i="23" s="1"/>
  <c r="S12" i="23"/>
  <c r="S13" i="23"/>
  <c r="AG5" i="23"/>
  <c r="AV5" i="23" s="1"/>
  <c r="AG14" i="23"/>
  <c r="AV14" i="23" s="1"/>
  <c r="D29" i="23"/>
  <c r="D51" i="23"/>
  <c r="G51" i="23" s="1"/>
  <c r="H21" i="23"/>
  <c r="H20" i="23"/>
  <c r="E26" i="23" l="1"/>
  <c r="F26" i="23" s="1"/>
  <c r="I19" i="23"/>
  <c r="E39" i="23"/>
  <c r="F39" i="23" s="1"/>
  <c r="I21" i="23"/>
  <c r="E38" i="23"/>
  <c r="F38" i="23" s="1"/>
  <c r="I20" i="23"/>
  <c r="E49" i="23" s="1"/>
  <c r="F49" i="23" s="1"/>
  <c r="G31" i="22"/>
  <c r="S63" i="23"/>
  <c r="V13" i="23"/>
  <c r="U13" i="23" s="1"/>
  <c r="W13" i="23" s="1"/>
  <c r="O69" i="23"/>
  <c r="V14" i="23"/>
  <c r="U14" i="23" s="1"/>
  <c r="W14" i="23" s="1"/>
  <c r="O70" i="23"/>
  <c r="O4" i="8"/>
  <c r="O9" i="29" s="1"/>
  <c r="N74" i="23"/>
  <c r="Q76" i="23"/>
  <c r="Q71" i="23"/>
  <c r="P63" i="23"/>
  <c r="O5" i="8"/>
  <c r="O10" i="29" s="1"/>
  <c r="N75" i="23"/>
  <c r="F61" i="23"/>
  <c r="BW7" i="23"/>
  <c r="CA7" i="23" s="1"/>
  <c r="E50" i="23"/>
  <c r="F50" i="23" s="1"/>
  <c r="F62" i="23"/>
  <c r="AX7" i="23"/>
  <c r="AR28" i="23" s="1"/>
  <c r="AS28" i="23" s="1"/>
  <c r="BW145" i="23"/>
  <c r="F59" i="23"/>
  <c r="G29" i="23"/>
  <c r="AC40" i="23"/>
  <c r="AF40" i="23" s="1"/>
  <c r="AG40" i="23" s="1"/>
  <c r="AK14" i="23"/>
  <c r="AC46" i="23" s="1"/>
  <c r="AF46" i="23" s="1"/>
  <c r="AC39" i="23"/>
  <c r="AD39" i="23" s="1"/>
  <c r="AK13" i="23"/>
  <c r="AC45" i="23" s="1"/>
  <c r="AF45" i="23" s="1"/>
  <c r="F60" i="23"/>
  <c r="BL15" i="23"/>
  <c r="BL22" i="23" s="1"/>
  <c r="CA15" i="23"/>
  <c r="BV55" i="23" s="1"/>
  <c r="BW8" i="23"/>
  <c r="BU146" i="23"/>
  <c r="BW146" i="23" s="1"/>
  <c r="BW6" i="23"/>
  <c r="CA6" i="23" s="1"/>
  <c r="BU144" i="23"/>
  <c r="BW144" i="23" s="1"/>
  <c r="BW143" i="23"/>
  <c r="CC14" i="23"/>
  <c r="CD14" i="23" s="1"/>
  <c r="CF14" i="23" s="1"/>
  <c r="BV50" i="23" s="1"/>
  <c r="BY50" i="23" s="1"/>
  <c r="E48" i="23"/>
  <c r="F48" i="23" s="1"/>
  <c r="AT43" i="23"/>
  <c r="BU86" i="23"/>
  <c r="BX86" i="23" s="1"/>
  <c r="BU44" i="23"/>
  <c r="BX44" i="23" s="1"/>
  <c r="BU120" i="23"/>
  <c r="BU42" i="23"/>
  <c r="BX42" i="23" s="1"/>
  <c r="BU114" i="23"/>
  <c r="BU43" i="23"/>
  <c r="BX43" i="23" s="1"/>
  <c r="BU117" i="23"/>
  <c r="AT29" i="23"/>
  <c r="BU78" i="23"/>
  <c r="BX78" i="23" s="1"/>
  <c r="BF91" i="23"/>
  <c r="BU91" i="23"/>
  <c r="BX91" i="23" s="1"/>
  <c r="BF75" i="23"/>
  <c r="BF78" i="23" s="1"/>
  <c r="BI78" i="23" s="1"/>
  <c r="BU75" i="23"/>
  <c r="BX75" i="23" s="1"/>
  <c r="AT26" i="23"/>
  <c r="D113" i="10"/>
  <c r="BK7" i="23" s="1"/>
  <c r="BG77" i="23" s="1"/>
  <c r="BH77" i="23" s="1"/>
  <c r="D23" i="29"/>
  <c r="BZ7" i="23" s="1"/>
  <c r="D111" i="10"/>
  <c r="BK5" i="23" s="1"/>
  <c r="BG75" i="23" s="1"/>
  <c r="BJ75" i="23" s="1"/>
  <c r="D21" i="29"/>
  <c r="BZ5" i="23" s="1"/>
  <c r="AZ12" i="23"/>
  <c r="BG12" i="23"/>
  <c r="BV12" i="23" s="1"/>
  <c r="BU48" i="23" s="1"/>
  <c r="BU21" i="23"/>
  <c r="BF135" i="23"/>
  <c r="BL117" i="23"/>
  <c r="AQ47" i="23"/>
  <c r="AT47" i="23" s="1"/>
  <c r="BG117" i="23"/>
  <c r="AQ32" i="23"/>
  <c r="AT32" i="23" s="1"/>
  <c r="BG99" i="23"/>
  <c r="BV99" i="23" s="1"/>
  <c r="AQ46" i="23"/>
  <c r="AT46" i="23" s="1"/>
  <c r="BJ114" i="23"/>
  <c r="AQ34" i="23"/>
  <c r="AT34" i="23" s="1"/>
  <c r="BG105" i="23"/>
  <c r="BV105" i="23" s="1"/>
  <c r="BU20" i="23"/>
  <c r="BF132" i="23"/>
  <c r="BF123" i="23"/>
  <c r="BL114" i="23"/>
  <c r="BU19" i="23"/>
  <c r="BF129" i="23"/>
  <c r="AQ48" i="23"/>
  <c r="AT48" i="23" s="1"/>
  <c r="BG120" i="23"/>
  <c r="BL120" i="23"/>
  <c r="AT54" i="23"/>
  <c r="BF86" i="23"/>
  <c r="BI86" i="23" s="1"/>
  <c r="BI83" i="23"/>
  <c r="AX13" i="23"/>
  <c r="AR41" i="23" s="1"/>
  <c r="AS41" i="23" s="1"/>
  <c r="H112" i="10"/>
  <c r="AX6" i="23"/>
  <c r="AR27" i="23" s="1"/>
  <c r="AS27" i="23" s="1"/>
  <c r="C112" i="10"/>
  <c r="AX12" i="23"/>
  <c r="AR40" i="23" s="1"/>
  <c r="AS40" i="23" s="1"/>
  <c r="H111" i="10"/>
  <c r="AX14" i="23"/>
  <c r="AR42" i="23" s="1"/>
  <c r="AU42" i="23" s="1"/>
  <c r="H113" i="10"/>
  <c r="CC13" i="23"/>
  <c r="CD13" i="23" s="1"/>
  <c r="O4" i="28"/>
  <c r="M111" i="10" s="1"/>
  <c r="O21" i="29" s="1"/>
  <c r="AZ13" i="23"/>
  <c r="AF21" i="23"/>
  <c r="AU21" i="23" s="1"/>
  <c r="AC33" i="23"/>
  <c r="AJ20" i="23"/>
  <c r="AK20" i="23" s="1"/>
  <c r="AU6" i="23"/>
  <c r="AF20" i="23"/>
  <c r="AU20" i="23" s="1"/>
  <c r="AC28" i="23"/>
  <c r="AF28" i="23" s="1"/>
  <c r="AG28" i="23" s="1"/>
  <c r="AJ21" i="23"/>
  <c r="AK21" i="23" s="1"/>
  <c r="AC32" i="23"/>
  <c r="AJ19" i="23"/>
  <c r="AK19" i="23" s="1"/>
  <c r="AF19" i="23"/>
  <c r="AU19" i="23" s="1"/>
  <c r="BG39" i="23"/>
  <c r="CA21" i="23"/>
  <c r="BX34" i="23"/>
  <c r="BX50" i="23"/>
  <c r="BX32" i="23"/>
  <c r="O18" i="29"/>
  <c r="Q14" i="29"/>
  <c r="BW12" i="23"/>
  <c r="CA12" i="23" s="1"/>
  <c r="L18" i="29"/>
  <c r="BW5" i="23"/>
  <c r="CA5" i="23" s="1"/>
  <c r="F18" i="29"/>
  <c r="AC34" i="23"/>
  <c r="AY21" i="23"/>
  <c r="AZ21" i="23" s="1"/>
  <c r="AY20" i="23"/>
  <c r="AZ20" i="23" s="1"/>
  <c r="AT20" i="23"/>
  <c r="AQ55" i="23" s="1"/>
  <c r="O5" i="28"/>
  <c r="M112" i="10" s="1"/>
  <c r="O22" i="29" s="1"/>
  <c r="AT21" i="23"/>
  <c r="AQ56" i="23" s="1"/>
  <c r="O6" i="28"/>
  <c r="M113" i="10" s="1"/>
  <c r="O23" i="29" s="1"/>
  <c r="M108" i="10"/>
  <c r="M106" i="10"/>
  <c r="M107" i="10"/>
  <c r="C103" i="10"/>
  <c r="C95" i="10"/>
  <c r="D95" i="10" s="1"/>
  <c r="BI6" i="23" s="1"/>
  <c r="BM6" i="23" s="1"/>
  <c r="M99" i="10"/>
  <c r="O99" i="10" s="1"/>
  <c r="BH19" i="23" s="1"/>
  <c r="H95" i="10"/>
  <c r="I95" i="10" s="1"/>
  <c r="BI13" i="23" s="1"/>
  <c r="BM13" i="23" s="1"/>
  <c r="H96" i="10"/>
  <c r="I96" i="10" s="1"/>
  <c r="BI14" i="23" s="1"/>
  <c r="BM14" i="23" s="1"/>
  <c r="H37" i="23"/>
  <c r="I37" i="23" s="1"/>
  <c r="H39" i="23"/>
  <c r="I39" i="23" s="1"/>
  <c r="H27" i="23"/>
  <c r="I27" i="23" s="1"/>
  <c r="H28" i="23"/>
  <c r="I28" i="23" s="1"/>
  <c r="H38" i="23"/>
  <c r="I38" i="23" s="1"/>
  <c r="H26" i="23"/>
  <c r="I26" i="23" s="1"/>
  <c r="AL5" i="23"/>
  <c r="AL19" i="23" s="1"/>
  <c r="AR26" i="23"/>
  <c r="AS26" i="23" s="1"/>
  <c r="AI21" i="23"/>
  <c r="AL13" i="23"/>
  <c r="AM13" i="23" s="1"/>
  <c r="AZ6" i="23"/>
  <c r="AI19" i="23"/>
  <c r="AI20" i="23"/>
  <c r="P5" i="7" s="1"/>
  <c r="AY5" i="23"/>
  <c r="BA5" i="23" s="1"/>
  <c r="AR32" i="23" s="1"/>
  <c r="AY19" i="23"/>
  <c r="AL14" i="23"/>
  <c r="AM14" i="23" s="1"/>
  <c r="BF60" i="23"/>
  <c r="BF32" i="23"/>
  <c r="BI32" i="23" s="1"/>
  <c r="Q32" i="23"/>
  <c r="AL6" i="23"/>
  <c r="AC27" i="23"/>
  <c r="Q46" i="23"/>
  <c r="BF50" i="23"/>
  <c r="BI50" i="23" s="1"/>
  <c r="AE52" i="23"/>
  <c r="AE50" i="23"/>
  <c r="AB53" i="23"/>
  <c r="AE51" i="23"/>
  <c r="AC26" i="23"/>
  <c r="Q34" i="23"/>
  <c r="Q52" i="23"/>
  <c r="BF45" i="23"/>
  <c r="BI45" i="23" s="1"/>
  <c r="AE41" i="23"/>
  <c r="BI29" i="23"/>
  <c r="AE29" i="23"/>
  <c r="N53" i="23"/>
  <c r="Q53" i="23" s="1"/>
  <c r="AL7" i="23"/>
  <c r="L8" i="9"/>
  <c r="M100" i="10"/>
  <c r="O100" i="10" s="1"/>
  <c r="BH20" i="23" s="1"/>
  <c r="N58" i="23"/>
  <c r="AB58" i="23" s="1"/>
  <c r="BG21" i="23"/>
  <c r="BV21" i="23" s="1"/>
  <c r="N44" i="23"/>
  <c r="AB44" i="23" s="1"/>
  <c r="N33" i="23"/>
  <c r="AB33" i="23" s="1"/>
  <c r="BG6" i="23"/>
  <c r="BV6" i="23" s="1"/>
  <c r="BU33" i="23" s="1"/>
  <c r="BU35" i="23" s="1"/>
  <c r="N45" i="23"/>
  <c r="AB45" i="23" s="1"/>
  <c r="BG13" i="23"/>
  <c r="BV13" i="23" s="1"/>
  <c r="BU49" i="23" s="1"/>
  <c r="N57" i="23"/>
  <c r="AB57" i="23" s="1"/>
  <c r="BG20" i="23"/>
  <c r="BV20" i="23" s="1"/>
  <c r="BU65" i="23" s="1"/>
  <c r="M102" i="10"/>
  <c r="O102" i="10" s="1"/>
  <c r="BH22" i="23" s="1"/>
  <c r="T20" i="23"/>
  <c r="V6" i="23"/>
  <c r="U6" i="23" s="1"/>
  <c r="W6" i="23" s="1"/>
  <c r="X6" i="23" s="1"/>
  <c r="J101" i="10"/>
  <c r="H103" i="10"/>
  <c r="D6" i="8"/>
  <c r="D11" i="29" s="1"/>
  <c r="BX7" i="23" s="1"/>
  <c r="T7" i="23"/>
  <c r="O64" i="23" s="1"/>
  <c r="J4" i="8"/>
  <c r="J9" i="29" s="1"/>
  <c r="BX12" i="23" s="1"/>
  <c r="CB12" i="23" s="1"/>
  <c r="T12" i="23"/>
  <c r="E103" i="10"/>
  <c r="D4" i="8"/>
  <c r="D9" i="29" s="1"/>
  <c r="BX5" i="23" s="1"/>
  <c r="CB5" i="23" s="1"/>
  <c r="T5" i="23"/>
  <c r="O62" i="23" s="1"/>
  <c r="O8" i="9"/>
  <c r="Q5" i="9"/>
  <c r="Q8" i="9" s="1"/>
  <c r="M101" i="10"/>
  <c r="O101" i="10" s="1"/>
  <c r="BH21" i="23" s="1"/>
  <c r="S19" i="23"/>
  <c r="O6" i="8"/>
  <c r="O11" i="29" s="1"/>
  <c r="AG6" i="23"/>
  <c r="AV6" i="23" s="1"/>
  <c r="E29" i="23"/>
  <c r="F29" i="23" s="1"/>
  <c r="AG12" i="23"/>
  <c r="AV12" i="23" s="1"/>
  <c r="AG21" i="23"/>
  <c r="AV21" i="23" s="1"/>
  <c r="AG13" i="23"/>
  <c r="AV13" i="23" s="1"/>
  <c r="AG20" i="23"/>
  <c r="AV20" i="23" s="1"/>
  <c r="E40" i="23"/>
  <c r="F40" i="23" s="1"/>
  <c r="Q74" i="23" l="1"/>
  <c r="N77" i="23"/>
  <c r="R69" i="23"/>
  <c r="S69" i="23" s="1"/>
  <c r="P69" i="23"/>
  <c r="V20" i="23"/>
  <c r="U20" i="23" s="1"/>
  <c r="W20" i="23" s="1"/>
  <c r="X20" i="23" s="1"/>
  <c r="O57" i="23" s="1"/>
  <c r="P57" i="23" s="1"/>
  <c r="O75" i="23"/>
  <c r="R75" i="23" s="1"/>
  <c r="Q75" i="23"/>
  <c r="V12" i="23"/>
  <c r="U12" i="23" s="1"/>
  <c r="W12" i="23" s="1"/>
  <c r="O68" i="23"/>
  <c r="R64" i="23"/>
  <c r="S64" i="23" s="1"/>
  <c r="P64" i="23"/>
  <c r="R70" i="23"/>
  <c r="S70" i="23" s="1"/>
  <c r="P70" i="23"/>
  <c r="M94" i="10"/>
  <c r="R62" i="23"/>
  <c r="S62" i="23" s="1"/>
  <c r="O65" i="23"/>
  <c r="P62" i="23"/>
  <c r="BG55" i="23"/>
  <c r="BG71" i="23" s="1"/>
  <c r="AU28" i="23"/>
  <c r="BA7" i="23"/>
  <c r="AR34" i="23" s="1"/>
  <c r="AF39" i="23"/>
  <c r="AG39" i="23" s="1"/>
  <c r="AD40" i="23"/>
  <c r="CA8" i="23"/>
  <c r="BV39" i="23" s="1"/>
  <c r="BV71" i="23" s="1"/>
  <c r="CB7" i="23"/>
  <c r="CC7" i="23" s="1"/>
  <c r="CC21" i="23" s="1"/>
  <c r="BW121" i="23"/>
  <c r="CC121" i="23" s="1"/>
  <c r="BV44" i="23"/>
  <c r="BY44" i="23" s="1"/>
  <c r="BZ44" i="23" s="1"/>
  <c r="O39" i="23"/>
  <c r="R39" i="23" s="1"/>
  <c r="S39" i="23" s="1"/>
  <c r="X13" i="23"/>
  <c r="O45" i="23" s="1"/>
  <c r="O40" i="23"/>
  <c r="P40" i="23" s="1"/>
  <c r="X14" i="23"/>
  <c r="O46" i="23" s="1"/>
  <c r="BW118" i="23"/>
  <c r="CC118" i="23" s="1"/>
  <c r="CF13" i="23"/>
  <c r="BV49" i="23" s="1"/>
  <c r="BY49" i="23" s="1"/>
  <c r="N107" i="10"/>
  <c r="BJ20" i="23" s="1"/>
  <c r="BU123" i="23"/>
  <c r="BY114" i="23"/>
  <c r="CA114" i="23"/>
  <c r="BU58" i="23"/>
  <c r="BX58" i="23" s="1"/>
  <c r="BU129" i="23"/>
  <c r="BU59" i="23"/>
  <c r="BX59" i="23" s="1"/>
  <c r="BU132" i="23"/>
  <c r="CA132" i="23" s="1"/>
  <c r="BM117" i="23"/>
  <c r="BV117" i="23"/>
  <c r="CB117" i="23" s="1"/>
  <c r="BU60" i="23"/>
  <c r="BX60" i="23" s="1"/>
  <c r="BU135" i="23"/>
  <c r="CA135" i="23" s="1"/>
  <c r="BM120" i="23"/>
  <c r="BV120" i="23"/>
  <c r="CB120" i="23" s="1"/>
  <c r="CA117" i="23"/>
  <c r="CA120" i="23"/>
  <c r="BU45" i="23"/>
  <c r="BX45" i="23" s="1"/>
  <c r="BF93" i="23"/>
  <c r="BI93" i="23" s="1"/>
  <c r="BU93" i="23"/>
  <c r="BY105" i="23"/>
  <c r="CB105" i="23"/>
  <c r="BF92" i="23"/>
  <c r="BI92" i="23" s="1"/>
  <c r="BU92" i="23"/>
  <c r="BX92" i="23" s="1"/>
  <c r="CB99" i="23"/>
  <c r="BY99" i="23"/>
  <c r="BI75" i="23"/>
  <c r="BH75" i="23"/>
  <c r="I111" i="10"/>
  <c r="BK12" i="23" s="1"/>
  <c r="BG83" i="23" s="1"/>
  <c r="BH83" i="23" s="1"/>
  <c r="J21" i="29"/>
  <c r="BZ12" i="23" s="1"/>
  <c r="BV83" i="23" s="1"/>
  <c r="D112" i="10"/>
  <c r="BK6" i="23" s="1"/>
  <c r="BG76" i="23" s="1"/>
  <c r="BG78" i="23" s="1"/>
  <c r="BH78" i="23" s="1"/>
  <c r="D22" i="29"/>
  <c r="BZ6" i="23" s="1"/>
  <c r="BV75" i="23"/>
  <c r="I113" i="10"/>
  <c r="BK14" i="23" s="1"/>
  <c r="BG85" i="23" s="1"/>
  <c r="BJ85" i="23" s="1"/>
  <c r="J23" i="29"/>
  <c r="BZ14" i="23" s="1"/>
  <c r="BZ21" i="23" s="1"/>
  <c r="I112" i="10"/>
  <c r="BK13" i="23" s="1"/>
  <c r="BG84" i="23" s="1"/>
  <c r="BJ84" i="23" s="1"/>
  <c r="J22" i="29"/>
  <c r="BZ13" i="23" s="1"/>
  <c r="BV84" i="23" s="1"/>
  <c r="BJ77" i="23"/>
  <c r="AX19" i="23"/>
  <c r="BA19" i="23" s="1"/>
  <c r="BV77" i="23"/>
  <c r="BL19" i="23"/>
  <c r="AQ62" i="23"/>
  <c r="AT62" i="23" s="1"/>
  <c r="BG135" i="23"/>
  <c r="BM105" i="23"/>
  <c r="BJ105" i="23"/>
  <c r="BL135" i="23"/>
  <c r="BL132" i="23"/>
  <c r="BM114" i="23"/>
  <c r="BG123" i="23"/>
  <c r="BJ123" i="23" s="1"/>
  <c r="BJ117" i="23"/>
  <c r="AQ61" i="23"/>
  <c r="AT61" i="23" s="1"/>
  <c r="BG132" i="23"/>
  <c r="AQ60" i="23"/>
  <c r="AT60" i="23" s="1"/>
  <c r="BG129" i="23"/>
  <c r="BV129" i="23" s="1"/>
  <c r="AQ33" i="23"/>
  <c r="AT33" i="23" s="1"/>
  <c r="BG102" i="23"/>
  <c r="BV102" i="23" s="1"/>
  <c r="BF138" i="23"/>
  <c r="BL129" i="23"/>
  <c r="BL123" i="23"/>
  <c r="BM99" i="23"/>
  <c r="BJ99" i="23"/>
  <c r="AQ49" i="23"/>
  <c r="AT49" i="23" s="1"/>
  <c r="BJ120" i="23"/>
  <c r="AU27" i="23"/>
  <c r="BA6" i="23"/>
  <c r="AR33" i="23" s="1"/>
  <c r="BA12" i="23"/>
  <c r="AR46" i="23" s="1"/>
  <c r="AS46" i="23" s="1"/>
  <c r="AU40" i="23"/>
  <c r="BI91" i="23"/>
  <c r="BA14" i="23"/>
  <c r="BB14" i="23" s="1"/>
  <c r="AR43" i="23"/>
  <c r="AS43" i="23" s="1"/>
  <c r="BA13" i="23"/>
  <c r="AR47" i="23" s="1"/>
  <c r="AS47" i="23" s="1"/>
  <c r="AX20" i="23"/>
  <c r="AR55" i="23" s="1"/>
  <c r="AS55" i="23" s="1"/>
  <c r="AS42" i="23"/>
  <c r="AX21" i="23"/>
  <c r="AR56" i="23" s="1"/>
  <c r="AS56" i="23" s="1"/>
  <c r="AU41" i="23"/>
  <c r="BU66" i="23"/>
  <c r="BX66" i="23" s="1"/>
  <c r="BV43" i="23"/>
  <c r="BW43" i="23" s="1"/>
  <c r="BZ50" i="23"/>
  <c r="BW50" i="23"/>
  <c r="AD28" i="23"/>
  <c r="AC58" i="23"/>
  <c r="AL20" i="23"/>
  <c r="AC35" i="23"/>
  <c r="AL21" i="23"/>
  <c r="AM21" i="23" s="1"/>
  <c r="CC6" i="23"/>
  <c r="CD6" i="23" s="1"/>
  <c r="CF6" i="23" s="1"/>
  <c r="CA20" i="23"/>
  <c r="BL20" i="23"/>
  <c r="BU51" i="23"/>
  <c r="BX48" i="23"/>
  <c r="CC12" i="23"/>
  <c r="CD12" i="23" s="1"/>
  <c r="CF12" i="23" s="1"/>
  <c r="BW19" i="23"/>
  <c r="Q18" i="29"/>
  <c r="BX33" i="23"/>
  <c r="BX49" i="23"/>
  <c r="AT56" i="23"/>
  <c r="P6" i="7"/>
  <c r="N108" i="10" s="1"/>
  <c r="BJ21" i="23" s="1"/>
  <c r="BN6" i="23"/>
  <c r="BF61" i="23"/>
  <c r="BI61" i="23" s="1"/>
  <c r="BI60" i="23"/>
  <c r="AT55" i="23"/>
  <c r="AQ57" i="23"/>
  <c r="BU94" i="23" s="1"/>
  <c r="BX94" i="23" s="1"/>
  <c r="BN13" i="23"/>
  <c r="BO13" i="23" s="1"/>
  <c r="BQ13" i="23" s="1"/>
  <c r="C94" i="10"/>
  <c r="D94" i="10" s="1"/>
  <c r="BI5" i="23" s="1"/>
  <c r="C96" i="10"/>
  <c r="D96" i="10" s="1"/>
  <c r="BI7" i="23" s="1"/>
  <c r="M96" i="10"/>
  <c r="H94" i="10"/>
  <c r="I94" i="10" s="1"/>
  <c r="BI12" i="23" s="1"/>
  <c r="H50" i="23"/>
  <c r="I50" i="23" s="1"/>
  <c r="H40" i="23"/>
  <c r="I40" i="23" s="1"/>
  <c r="J37" i="23" s="1"/>
  <c r="H49" i="23"/>
  <c r="I49" i="23" s="1"/>
  <c r="H48" i="23"/>
  <c r="I48" i="23" s="1"/>
  <c r="H29" i="23"/>
  <c r="I29" i="23" s="1"/>
  <c r="J26" i="23" s="1"/>
  <c r="AC47" i="23"/>
  <c r="AF47" i="23" s="1"/>
  <c r="AR29" i="23"/>
  <c r="AS29" i="23" s="1"/>
  <c r="AU26" i="23"/>
  <c r="AC57" i="23"/>
  <c r="AC56" i="23"/>
  <c r="AZ5" i="23"/>
  <c r="BB5" i="23"/>
  <c r="AZ19" i="23"/>
  <c r="P4" i="7"/>
  <c r="N106" i="10" s="1"/>
  <c r="BJ19" i="23" s="1"/>
  <c r="AM6" i="23"/>
  <c r="AF33" i="23" s="1"/>
  <c r="AM7" i="23"/>
  <c r="AM5" i="23"/>
  <c r="Q57" i="23"/>
  <c r="Q45" i="23"/>
  <c r="Q58" i="23"/>
  <c r="Q44" i="23"/>
  <c r="BF66" i="23"/>
  <c r="BI66" i="23" s="1"/>
  <c r="N35" i="23"/>
  <c r="AB35" i="23" s="1"/>
  <c r="Q33" i="23"/>
  <c r="AE32" i="23"/>
  <c r="AE46" i="23"/>
  <c r="AG46" i="23" s="1"/>
  <c r="AD46" i="23"/>
  <c r="AC52" i="23"/>
  <c r="AE34" i="23"/>
  <c r="AD34" i="23"/>
  <c r="AF26" i="23"/>
  <c r="AG26" i="23" s="1"/>
  <c r="AD26" i="23"/>
  <c r="AF27" i="23"/>
  <c r="AG27" i="23" s="1"/>
  <c r="AD27" i="23"/>
  <c r="BF65" i="23"/>
  <c r="BI65" i="23" s="1"/>
  <c r="BF49" i="23"/>
  <c r="BI49" i="23" s="1"/>
  <c r="BF33" i="23"/>
  <c r="BI33" i="23" s="1"/>
  <c r="BF34" i="23"/>
  <c r="BI34" i="23" s="1"/>
  <c r="AE53" i="23"/>
  <c r="AC41" i="23"/>
  <c r="AF34" i="23"/>
  <c r="AF32" i="23"/>
  <c r="N56" i="23"/>
  <c r="AB56" i="23" s="1"/>
  <c r="BG19" i="23"/>
  <c r="BV19" i="23" s="1"/>
  <c r="P5" i="8"/>
  <c r="M95" i="10"/>
  <c r="T19" i="23"/>
  <c r="O74" i="23" s="1"/>
  <c r="J103" i="10"/>
  <c r="BH14" i="23"/>
  <c r="BL14" i="23" s="1"/>
  <c r="O103" i="10"/>
  <c r="M103" i="10"/>
  <c r="AC29" i="23"/>
  <c r="O27" i="23"/>
  <c r="O33" i="23"/>
  <c r="V5" i="23"/>
  <c r="U5" i="23" s="1"/>
  <c r="W5" i="23" s="1"/>
  <c r="X5" i="23" s="1"/>
  <c r="T21" i="23"/>
  <c r="V7" i="23"/>
  <c r="U7" i="23" s="1"/>
  <c r="W7" i="23" s="1"/>
  <c r="X7" i="23" s="1"/>
  <c r="AG19" i="23"/>
  <c r="AV19" i="23" s="1"/>
  <c r="N47" i="23"/>
  <c r="AB47" i="23" s="1"/>
  <c r="E51" i="23"/>
  <c r="F51" i="23" s="1"/>
  <c r="O51" i="23" l="1"/>
  <c r="P51" i="23" s="1"/>
  <c r="S75" i="23"/>
  <c r="R74" i="23"/>
  <c r="S74" i="23" s="1"/>
  <c r="V21" i="23"/>
  <c r="U21" i="23" s="1"/>
  <c r="W21" i="23" s="1"/>
  <c r="O76" i="23"/>
  <c r="O77" i="23" s="1"/>
  <c r="R77" i="23" s="1"/>
  <c r="P74" i="23"/>
  <c r="R68" i="23"/>
  <c r="S68" i="23" s="1"/>
  <c r="O71" i="23"/>
  <c r="P68" i="23"/>
  <c r="Q77" i="23"/>
  <c r="P75" i="23"/>
  <c r="R65" i="23"/>
  <c r="S65" i="23" s="1"/>
  <c r="T62" i="23" s="1"/>
  <c r="P65" i="23"/>
  <c r="CA22" i="23"/>
  <c r="BB7" i="23"/>
  <c r="P39" i="23"/>
  <c r="BM5" i="23"/>
  <c r="BN5" i="23" s="1"/>
  <c r="BO5" i="23" s="1"/>
  <c r="BQ5" i="23" s="1"/>
  <c r="BG32" i="23" s="1"/>
  <c r="BM7" i="23"/>
  <c r="BN7" i="23" s="1"/>
  <c r="BO7" i="23" s="1"/>
  <c r="BQ7" i="23" s="1"/>
  <c r="BY21" i="23"/>
  <c r="P6" i="29" s="1"/>
  <c r="CD7" i="23"/>
  <c r="CF7" i="23" s="1"/>
  <c r="BV34" i="23" s="1"/>
  <c r="BX21" i="23"/>
  <c r="CB21" i="23" s="1"/>
  <c r="BM12" i="23"/>
  <c r="BN12" i="23" s="1"/>
  <c r="BO12" i="23" s="1"/>
  <c r="BG42" i="23" s="1"/>
  <c r="R40" i="23"/>
  <c r="S40" i="23" s="1"/>
  <c r="BW44" i="23"/>
  <c r="X12" i="23"/>
  <c r="O44" i="23" s="1"/>
  <c r="BH85" i="23"/>
  <c r="BY117" i="23"/>
  <c r="BJ129" i="23"/>
  <c r="AQ35" i="23"/>
  <c r="AT35" i="23" s="1"/>
  <c r="CA129" i="23"/>
  <c r="BU138" i="23"/>
  <c r="CA138" i="23" s="1"/>
  <c r="CA123" i="23"/>
  <c r="BM123" i="23"/>
  <c r="BV123" i="23"/>
  <c r="CB123" i="23" s="1"/>
  <c r="BH76" i="23"/>
  <c r="BU61" i="23"/>
  <c r="BX61" i="23" s="1"/>
  <c r="BY120" i="23"/>
  <c r="BY83" i="23"/>
  <c r="BW83" i="23"/>
  <c r="BZ19" i="23"/>
  <c r="BV91" i="23" s="1"/>
  <c r="CE13" i="23"/>
  <c r="BX118" i="23" s="1"/>
  <c r="BY118" i="23" s="1"/>
  <c r="BM135" i="23"/>
  <c r="BV135" i="23"/>
  <c r="BJ135" i="23"/>
  <c r="BY102" i="23"/>
  <c r="CB102" i="23"/>
  <c r="BM132" i="23"/>
  <c r="BV132" i="23"/>
  <c r="BJ78" i="23"/>
  <c r="BJ76" i="23"/>
  <c r="BF94" i="23"/>
  <c r="BI94" i="23" s="1"/>
  <c r="CB129" i="23"/>
  <c r="BY129" i="23"/>
  <c r="BG86" i="23"/>
  <c r="BJ86" i="23" s="1"/>
  <c r="BH84" i="23"/>
  <c r="BY75" i="23"/>
  <c r="BW75" i="23"/>
  <c r="BY84" i="23"/>
  <c r="BW84" i="23"/>
  <c r="BY77" i="23"/>
  <c r="BW77" i="23"/>
  <c r="P23" i="29"/>
  <c r="BV93" i="23"/>
  <c r="BV85" i="23"/>
  <c r="BV86" i="23" s="1"/>
  <c r="CE14" i="23"/>
  <c r="BX121" i="23" s="1"/>
  <c r="BY121" i="23" s="1"/>
  <c r="BZ20" i="23"/>
  <c r="BV76" i="23"/>
  <c r="BV78" i="23" s="1"/>
  <c r="BJ83" i="23"/>
  <c r="BV48" i="23"/>
  <c r="BW48" i="23" s="1"/>
  <c r="BW115" i="23"/>
  <c r="CE12" i="23"/>
  <c r="BX115" i="23" s="1"/>
  <c r="CD20" i="23"/>
  <c r="BW103" i="23"/>
  <c r="P4" i="28"/>
  <c r="N111" i="10" s="1"/>
  <c r="BK19" i="23" s="1"/>
  <c r="BG91" i="23" s="1"/>
  <c r="BH91" i="23" s="1"/>
  <c r="BB13" i="23"/>
  <c r="AR54" i="23"/>
  <c r="AU54" i="23" s="1"/>
  <c r="AU43" i="23"/>
  <c r="BB6" i="23"/>
  <c r="BM102" i="23"/>
  <c r="BJ102" i="23"/>
  <c r="BL138" i="23"/>
  <c r="BG138" i="23"/>
  <c r="BM129" i="23"/>
  <c r="BG108" i="23"/>
  <c r="BV108" i="23" s="1"/>
  <c r="BJ132" i="23"/>
  <c r="AQ63" i="23"/>
  <c r="AT63" i="23" s="1"/>
  <c r="BG43" i="23"/>
  <c r="BH43" i="23" s="1"/>
  <c r="BH118" i="23"/>
  <c r="BB12" i="23"/>
  <c r="AU46" i="23"/>
  <c r="AV46" i="23" s="1"/>
  <c r="AU55" i="23"/>
  <c r="BY43" i="23"/>
  <c r="BZ43" i="23" s="1"/>
  <c r="BF35" i="23"/>
  <c r="BI35" i="23" s="1"/>
  <c r="P6" i="28"/>
  <c r="N113" i="10" s="1"/>
  <c r="BK21" i="23" s="1"/>
  <c r="BG93" i="23" s="1"/>
  <c r="BJ93" i="23" s="1"/>
  <c r="AU56" i="23"/>
  <c r="AR48" i="23"/>
  <c r="AU48" i="23" s="1"/>
  <c r="AV48" i="23" s="1"/>
  <c r="BA21" i="23"/>
  <c r="AR62" i="23" s="1"/>
  <c r="BA20" i="23"/>
  <c r="BB20" i="23" s="1"/>
  <c r="P5" i="28"/>
  <c r="N112" i="10" s="1"/>
  <c r="BK20" i="23" s="1"/>
  <c r="BG92" i="23" s="1"/>
  <c r="AU47" i="23"/>
  <c r="AV47" i="23" s="1"/>
  <c r="BU64" i="23"/>
  <c r="BU67" i="23" s="1"/>
  <c r="BX67" i="23" s="1"/>
  <c r="BW49" i="23"/>
  <c r="BZ49" i="23"/>
  <c r="BX20" i="23"/>
  <c r="CB20" i="23" s="1"/>
  <c r="BO6" i="23"/>
  <c r="BQ6" i="23" s="1"/>
  <c r="BN20" i="23"/>
  <c r="CC5" i="23"/>
  <c r="CD5" i="23" s="1"/>
  <c r="CA19" i="23"/>
  <c r="BY20" i="23"/>
  <c r="P5" i="29" s="1"/>
  <c r="CC20" i="23"/>
  <c r="BX51" i="23"/>
  <c r="BX35" i="23"/>
  <c r="AT57" i="23"/>
  <c r="BV27" i="23"/>
  <c r="BW27" i="23" s="1"/>
  <c r="CE6" i="23"/>
  <c r="BV33" i="23"/>
  <c r="BV42" i="23"/>
  <c r="BW42" i="23" s="1"/>
  <c r="BI20" i="23"/>
  <c r="BM20" i="23" s="1"/>
  <c r="BG49" i="23"/>
  <c r="BJ49" i="23" s="1"/>
  <c r="BK49" i="23" s="1"/>
  <c r="BP13" i="23"/>
  <c r="BI118" i="23" s="1"/>
  <c r="N95" i="10"/>
  <c r="H51" i="23"/>
  <c r="I51" i="23" s="1"/>
  <c r="J48" i="23" s="1"/>
  <c r="AC51" i="23"/>
  <c r="AF51" i="23" s="1"/>
  <c r="AG51" i="23" s="1"/>
  <c r="AC59" i="23"/>
  <c r="AM20" i="23"/>
  <c r="AU29" i="23"/>
  <c r="BB19" i="23"/>
  <c r="AR60" i="23"/>
  <c r="AM19" i="23"/>
  <c r="AF56" i="23" s="1"/>
  <c r="AC50" i="23"/>
  <c r="AF50" i="23" s="1"/>
  <c r="AG50" i="23" s="1"/>
  <c r="AU33" i="23"/>
  <c r="AV33" i="23" s="1"/>
  <c r="AS33" i="23"/>
  <c r="AU34" i="23"/>
  <c r="AV34" i="23" s="1"/>
  <c r="AS34" i="23"/>
  <c r="AU32" i="23"/>
  <c r="AV32" i="23" s="1"/>
  <c r="AR35" i="23"/>
  <c r="AS32" i="23"/>
  <c r="AG34" i="23"/>
  <c r="AE45" i="23"/>
  <c r="AG45" i="23" s="1"/>
  <c r="AD45" i="23"/>
  <c r="AD33" i="23"/>
  <c r="AE33" i="23"/>
  <c r="AG33" i="23" s="1"/>
  <c r="AF52" i="23"/>
  <c r="AG52" i="23" s="1"/>
  <c r="AD52" i="23"/>
  <c r="AE58" i="23"/>
  <c r="AD57" i="23"/>
  <c r="AE57" i="23"/>
  <c r="AG32" i="23"/>
  <c r="R46" i="23"/>
  <c r="S46" i="23" s="1"/>
  <c r="P46" i="23"/>
  <c r="Q35" i="23"/>
  <c r="AD44" i="23"/>
  <c r="AE44" i="23"/>
  <c r="AG44" i="23" s="1"/>
  <c r="Q47" i="23"/>
  <c r="N59" i="23"/>
  <c r="AB59" i="23" s="1"/>
  <c r="Q56" i="23"/>
  <c r="BF48" i="23"/>
  <c r="BI48" i="23" s="1"/>
  <c r="AD32" i="23"/>
  <c r="AD47" i="23"/>
  <c r="AE47" i="23"/>
  <c r="AG47" i="23" s="1"/>
  <c r="AH44" i="23" s="1"/>
  <c r="AF41" i="23"/>
  <c r="AG41" i="23" s="1"/>
  <c r="AH38" i="23" s="1"/>
  <c r="AD41" i="23"/>
  <c r="AE35" i="23"/>
  <c r="AF29" i="23"/>
  <c r="AG29" i="23" s="1"/>
  <c r="AH26" i="23" s="1"/>
  <c r="AD29" i="23"/>
  <c r="P45" i="23"/>
  <c r="R45" i="23"/>
  <c r="S45" i="23" s="1"/>
  <c r="R27" i="23"/>
  <c r="S27" i="23" s="1"/>
  <c r="P27" i="23"/>
  <c r="R57" i="23"/>
  <c r="S57" i="23" s="1"/>
  <c r="R33" i="23"/>
  <c r="S33" i="23" s="1"/>
  <c r="P33" i="23"/>
  <c r="O38" i="23"/>
  <c r="P38" i="23" s="1"/>
  <c r="AF35" i="23"/>
  <c r="AF58" i="23"/>
  <c r="AF57" i="23"/>
  <c r="BF51" i="23"/>
  <c r="BI51" i="23" s="1"/>
  <c r="O34" i="23"/>
  <c r="O28" i="23"/>
  <c r="V19" i="23"/>
  <c r="U19" i="23" s="1"/>
  <c r="W19" i="23" s="1"/>
  <c r="X19" i="23" s="1"/>
  <c r="P4" i="8"/>
  <c r="N94" i="10" s="1"/>
  <c r="O26" i="23"/>
  <c r="O32" i="23"/>
  <c r="P6" i="8"/>
  <c r="N96" i="10" s="1"/>
  <c r="R51" i="23" l="1"/>
  <c r="S51" i="23" s="1"/>
  <c r="S77" i="23"/>
  <c r="T74" i="23" s="1"/>
  <c r="P77" i="23"/>
  <c r="R71" i="23"/>
  <c r="S71" i="23" s="1"/>
  <c r="T68" i="23" s="1"/>
  <c r="P71" i="23"/>
  <c r="R76" i="23"/>
  <c r="S76" i="23" s="1"/>
  <c r="P76" i="23"/>
  <c r="BJ32" i="23"/>
  <c r="BK32" i="23" s="1"/>
  <c r="BW106" i="23"/>
  <c r="CC106" i="23" s="1"/>
  <c r="BV28" i="23"/>
  <c r="BW28" i="23" s="1"/>
  <c r="CE7" i="23"/>
  <c r="BX106" i="23" s="1"/>
  <c r="BG26" i="23"/>
  <c r="BJ26" i="23" s="1"/>
  <c r="BK26" i="23" s="1"/>
  <c r="CD21" i="23"/>
  <c r="CF21" i="23" s="1"/>
  <c r="BV66" i="23" s="1"/>
  <c r="BW66" i="23" s="1"/>
  <c r="BH100" i="23"/>
  <c r="BN100" i="23" s="1"/>
  <c r="BP99" i="23" s="1"/>
  <c r="P11" i="29"/>
  <c r="BP12" i="23"/>
  <c r="BI115" i="23" s="1"/>
  <c r="BK114" i="23" s="1"/>
  <c r="BH115" i="23"/>
  <c r="BN115" i="23" s="1"/>
  <c r="BP114" i="23" s="1"/>
  <c r="BQ12" i="23"/>
  <c r="BG48" i="23" s="1"/>
  <c r="BN19" i="23"/>
  <c r="BI19" i="23"/>
  <c r="BM19" i="23" s="1"/>
  <c r="BW100" i="23"/>
  <c r="BW109" i="23" s="1"/>
  <c r="CC109" i="23" s="1"/>
  <c r="CF5" i="23"/>
  <c r="BV32" i="23" s="1"/>
  <c r="BV35" i="23" s="1"/>
  <c r="P44" i="23"/>
  <c r="O47" i="23"/>
  <c r="P47" i="23" s="1"/>
  <c r="R44" i="23"/>
  <c r="S44" i="23" s="1"/>
  <c r="BW133" i="23"/>
  <c r="CC133" i="23" s="1"/>
  <c r="CF20" i="23"/>
  <c r="BV65" i="23" s="1"/>
  <c r="BY65" i="23" s="1"/>
  <c r="O52" i="23"/>
  <c r="P52" i="23" s="1"/>
  <c r="X21" i="23"/>
  <c r="O58" i="23" s="1"/>
  <c r="P58" i="23" s="1"/>
  <c r="BH86" i="23"/>
  <c r="P21" i="29"/>
  <c r="BY123" i="23"/>
  <c r="BY115" i="23"/>
  <c r="BV51" i="23"/>
  <c r="BY51" i="23" s="1"/>
  <c r="BZ51" i="23" s="1"/>
  <c r="CA48" i="23" s="1"/>
  <c r="BZ117" i="23"/>
  <c r="CD118" i="23"/>
  <c r="CE117" i="23" s="1"/>
  <c r="CB135" i="23"/>
  <c r="BY135" i="23"/>
  <c r="BY132" i="23"/>
  <c r="CB132" i="23"/>
  <c r="BM138" i="23"/>
  <c r="BV138" i="23"/>
  <c r="BY108" i="23"/>
  <c r="CB108" i="23"/>
  <c r="BY48" i="23"/>
  <c r="BZ48" i="23" s="1"/>
  <c r="BY78" i="23"/>
  <c r="BW78" i="23"/>
  <c r="BY86" i="23"/>
  <c r="BW86" i="23"/>
  <c r="P22" i="29"/>
  <c r="BV92" i="23"/>
  <c r="BV94" i="23" s="1"/>
  <c r="BV59" i="23"/>
  <c r="BW59" i="23" s="1"/>
  <c r="BY85" i="23"/>
  <c r="BW85" i="23"/>
  <c r="BZ120" i="23"/>
  <c r="CD121" i="23"/>
  <c r="CE120" i="23" s="1"/>
  <c r="BW93" i="23"/>
  <c r="BY93" i="23"/>
  <c r="BY76" i="23"/>
  <c r="BW76" i="23"/>
  <c r="BY91" i="23"/>
  <c r="BW91" i="23"/>
  <c r="CC103" i="23"/>
  <c r="CD115" i="23"/>
  <c r="CE114" i="23" s="1"/>
  <c r="BX124" i="23"/>
  <c r="BZ114" i="23"/>
  <c r="CE21" i="23"/>
  <c r="BX136" i="23" s="1"/>
  <c r="CE20" i="23"/>
  <c r="BX133" i="23" s="1"/>
  <c r="BX103" i="23"/>
  <c r="BY103" i="23" s="1"/>
  <c r="CC115" i="23"/>
  <c r="BW124" i="23"/>
  <c r="BJ91" i="23"/>
  <c r="AS54" i="23"/>
  <c r="AR49" i="23"/>
  <c r="AS49" i="23" s="1"/>
  <c r="AR57" i="23"/>
  <c r="AU57" i="23" s="1"/>
  <c r="BH93" i="23"/>
  <c r="BM108" i="23"/>
  <c r="BJ108" i="23"/>
  <c r="BB21" i="23"/>
  <c r="BJ43" i="23"/>
  <c r="BK43" i="23" s="1"/>
  <c r="BJ138" i="23"/>
  <c r="BO118" i="23"/>
  <c r="BK117" i="23"/>
  <c r="BJ118" i="23"/>
  <c r="BN118" i="23"/>
  <c r="BP117" i="23" s="1"/>
  <c r="BG28" i="23"/>
  <c r="BJ28" i="23" s="1"/>
  <c r="BK28" i="23" s="1"/>
  <c r="BH106" i="23"/>
  <c r="BO115" i="23"/>
  <c r="BG27" i="23"/>
  <c r="BH103" i="23"/>
  <c r="AS48" i="23"/>
  <c r="BG94" i="23"/>
  <c r="BJ92" i="23"/>
  <c r="BH92" i="23"/>
  <c r="AR61" i="23"/>
  <c r="AU61" i="23" s="1"/>
  <c r="AV61" i="23" s="1"/>
  <c r="BY34" i="23"/>
  <c r="BZ34" i="23" s="1"/>
  <c r="BP5" i="23"/>
  <c r="BI100" i="23" s="1"/>
  <c r="BG33" i="23"/>
  <c r="BH33" i="23" s="1"/>
  <c r="BX64" i="23"/>
  <c r="P10" i="29"/>
  <c r="BW34" i="23"/>
  <c r="BN14" i="23"/>
  <c r="BL21" i="23"/>
  <c r="CD19" i="23"/>
  <c r="CC19" i="23"/>
  <c r="BY19" i="23"/>
  <c r="P4" i="29" s="1"/>
  <c r="BO19" i="23"/>
  <c r="BP6" i="23"/>
  <c r="BI103" i="23" s="1"/>
  <c r="BK102" i="23" s="1"/>
  <c r="BO20" i="23"/>
  <c r="BQ20" i="23" s="1"/>
  <c r="BG34" i="23"/>
  <c r="BH34" i="23" s="1"/>
  <c r="BX19" i="23"/>
  <c r="P9" i="29" s="1"/>
  <c r="BP7" i="23"/>
  <c r="BI106" i="23" s="1"/>
  <c r="BY27" i="23"/>
  <c r="BZ27" i="23" s="1"/>
  <c r="BV45" i="23"/>
  <c r="BW45" i="23" s="1"/>
  <c r="BY42" i="23"/>
  <c r="BZ42" i="23" s="1"/>
  <c r="BV26" i="23"/>
  <c r="BW26" i="23" s="1"/>
  <c r="CE5" i="23"/>
  <c r="BX100" i="23" s="1"/>
  <c r="BY33" i="23"/>
  <c r="BZ33" i="23" s="1"/>
  <c r="BW33" i="23"/>
  <c r="BX65" i="23"/>
  <c r="BH49" i="23"/>
  <c r="BH32" i="23"/>
  <c r="BH42" i="23"/>
  <c r="BJ42" i="23"/>
  <c r="BK42" i="23" s="1"/>
  <c r="AD51" i="23"/>
  <c r="AC53" i="23"/>
  <c r="AF53" i="23" s="1"/>
  <c r="AG53" i="23" s="1"/>
  <c r="AH50" i="23" s="1"/>
  <c r="AU62" i="23"/>
  <c r="AV62" i="23" s="1"/>
  <c r="AS62" i="23"/>
  <c r="AU60" i="23"/>
  <c r="AV60" i="23" s="1"/>
  <c r="AS60" i="23"/>
  <c r="AD50" i="23"/>
  <c r="AU35" i="23"/>
  <c r="AS35" i="23"/>
  <c r="AG57" i="23"/>
  <c r="AG35" i="23"/>
  <c r="AH32" i="23" s="1"/>
  <c r="AG58" i="23"/>
  <c r="Q59" i="23"/>
  <c r="BF67" i="23"/>
  <c r="BI67" i="23" s="1"/>
  <c r="AE56" i="23"/>
  <c r="AG56" i="23" s="1"/>
  <c r="AD56" i="23"/>
  <c r="AD35" i="23"/>
  <c r="BF64" i="23"/>
  <c r="BI64" i="23" s="1"/>
  <c r="AD58" i="23"/>
  <c r="O41" i="23"/>
  <c r="P41" i="23" s="1"/>
  <c r="R38" i="23"/>
  <c r="S38" i="23" s="1"/>
  <c r="P34" i="23"/>
  <c r="R34" i="23"/>
  <c r="S34" i="23" s="1"/>
  <c r="R28" i="23"/>
  <c r="S28" i="23" s="1"/>
  <c r="P28" i="23"/>
  <c r="P32" i="23"/>
  <c r="R32" i="23"/>
  <c r="S32" i="23" s="1"/>
  <c r="P26" i="23"/>
  <c r="R26" i="23"/>
  <c r="S26" i="23" s="1"/>
  <c r="AF59" i="23"/>
  <c r="O29" i="23"/>
  <c r="O50" i="23"/>
  <c r="O56" i="23"/>
  <c r="O35" i="23"/>
  <c r="D8" i="9"/>
  <c r="BJ48" i="23" l="1"/>
  <c r="BK48" i="23" s="1"/>
  <c r="BG35" i="23"/>
  <c r="BH35" i="23" s="1"/>
  <c r="BY28" i="23"/>
  <c r="BZ28" i="23" s="1"/>
  <c r="BH26" i="23"/>
  <c r="BG29" i="23"/>
  <c r="BH29" i="23" s="1"/>
  <c r="BY106" i="23"/>
  <c r="BV60" i="23"/>
  <c r="BW60" i="23" s="1"/>
  <c r="BW136" i="23"/>
  <c r="CC136" i="23" s="1"/>
  <c r="AU49" i="23"/>
  <c r="AV49" i="23" s="1"/>
  <c r="AW46" i="23" s="1"/>
  <c r="BJ100" i="23"/>
  <c r="R47" i="23"/>
  <c r="S47" i="23" s="1"/>
  <c r="T44" i="23" s="1"/>
  <c r="BH48" i="23"/>
  <c r="BJ115" i="23"/>
  <c r="BY100" i="23"/>
  <c r="CC100" i="23"/>
  <c r="BY136" i="23"/>
  <c r="BY133" i="23"/>
  <c r="BW130" i="23"/>
  <c r="CC130" i="23" s="1"/>
  <c r="CF19" i="23"/>
  <c r="BV64" i="23" s="1"/>
  <c r="R52" i="23"/>
  <c r="S52" i="23" s="1"/>
  <c r="BH130" i="23"/>
  <c r="BN130" i="23" s="1"/>
  <c r="BP129" i="23" s="1"/>
  <c r="BQ19" i="23"/>
  <c r="BW51" i="23"/>
  <c r="BY124" i="23"/>
  <c r="BY138" i="23"/>
  <c r="CB138" i="23"/>
  <c r="BY94" i="23"/>
  <c r="BW94" i="23"/>
  <c r="BW92" i="23"/>
  <c r="BY92" i="23"/>
  <c r="BY66" i="23"/>
  <c r="BZ66" i="23" s="1"/>
  <c r="BZ132" i="23"/>
  <c r="CD133" i="23"/>
  <c r="CE132" i="23" s="1"/>
  <c r="CD136" i="23"/>
  <c r="CE135" i="23" s="1"/>
  <c r="BZ135" i="23"/>
  <c r="CC124" i="23"/>
  <c r="CD103" i="23"/>
  <c r="CE102" i="23" s="1"/>
  <c r="BZ102" i="23"/>
  <c r="CD106" i="23"/>
  <c r="CE105" i="23" s="1"/>
  <c r="BZ105" i="23"/>
  <c r="CD124" i="23"/>
  <c r="CE123" i="23" s="1"/>
  <c r="BZ123" i="23"/>
  <c r="CE19" i="23"/>
  <c r="BX130" i="23" s="1"/>
  <c r="AS57" i="23"/>
  <c r="AV35" i="23"/>
  <c r="AW32" i="23" s="1"/>
  <c r="BN21" i="23"/>
  <c r="BO14" i="23"/>
  <c r="BQ14" i="23" s="1"/>
  <c r="BJ27" i="23"/>
  <c r="BK27" i="23" s="1"/>
  <c r="BO106" i="23"/>
  <c r="BK105" i="23"/>
  <c r="BK99" i="23"/>
  <c r="BO100" i="23"/>
  <c r="BH27" i="23"/>
  <c r="BJ106" i="23"/>
  <c r="BN106" i="23"/>
  <c r="BP105" i="23" s="1"/>
  <c r="BH28" i="23"/>
  <c r="BJ103" i="23"/>
  <c r="BH109" i="23"/>
  <c r="BN103" i="23"/>
  <c r="BP102" i="23" s="1"/>
  <c r="BO103" i="23"/>
  <c r="BI109" i="23"/>
  <c r="BG59" i="23"/>
  <c r="BJ59" i="23" s="1"/>
  <c r="BK59" i="23" s="1"/>
  <c r="BH133" i="23"/>
  <c r="AR63" i="23"/>
  <c r="AS63" i="23" s="1"/>
  <c r="AS61" i="23"/>
  <c r="BJ94" i="23"/>
  <c r="BH94" i="23"/>
  <c r="BP19" i="23"/>
  <c r="BI130" i="23" s="1"/>
  <c r="BK129" i="23" s="1"/>
  <c r="BJ33" i="23"/>
  <c r="BK33" i="23" s="1"/>
  <c r="BP20" i="23"/>
  <c r="BI133" i="23" s="1"/>
  <c r="BK132" i="23" s="1"/>
  <c r="BG65" i="23"/>
  <c r="BH65" i="23" s="1"/>
  <c r="BJ34" i="23"/>
  <c r="BK34" i="23" s="1"/>
  <c r="CB19" i="23"/>
  <c r="BV58" i="23" s="1"/>
  <c r="BW58" i="23" s="1"/>
  <c r="BI21" i="23"/>
  <c r="BM21" i="23" s="1"/>
  <c r="BW32" i="23"/>
  <c r="BY32" i="23"/>
  <c r="BZ32" i="23" s="1"/>
  <c r="BY59" i="23"/>
  <c r="BZ59" i="23" s="1"/>
  <c r="BY45" i="23"/>
  <c r="BZ45" i="23" s="1"/>
  <c r="CA42" i="23" s="1"/>
  <c r="BW65" i="23"/>
  <c r="BV29" i="23"/>
  <c r="BW29" i="23" s="1"/>
  <c r="BY26" i="23"/>
  <c r="BZ26" i="23" s="1"/>
  <c r="BZ65" i="23"/>
  <c r="AD53" i="23"/>
  <c r="R58" i="23"/>
  <c r="S58" i="23" s="1"/>
  <c r="AD59" i="23"/>
  <c r="AE59" i="23"/>
  <c r="AG59" i="23" s="1"/>
  <c r="AH56" i="23" s="1"/>
  <c r="R50" i="23"/>
  <c r="S50" i="23" s="1"/>
  <c r="P50" i="23"/>
  <c r="R56" i="23"/>
  <c r="S56" i="23" s="1"/>
  <c r="P56" i="23"/>
  <c r="R41" i="23"/>
  <c r="S41" i="23" s="1"/>
  <c r="T38" i="23" s="1"/>
  <c r="P29" i="23"/>
  <c r="R29" i="23"/>
  <c r="S29" i="23" s="1"/>
  <c r="P35" i="23"/>
  <c r="R35" i="23"/>
  <c r="S35" i="23" s="1"/>
  <c r="T32" i="23" s="1"/>
  <c r="O59" i="23"/>
  <c r="P59" i="23" s="1"/>
  <c r="O53" i="23"/>
  <c r="P53" i="23" s="1"/>
  <c r="F8" i="9"/>
  <c r="BG58" i="23"/>
  <c r="BJ29" i="23" l="1"/>
  <c r="BK29" i="23" s="1"/>
  <c r="BL26" i="23" s="1"/>
  <c r="BY60" i="23"/>
  <c r="BZ60" i="23" s="1"/>
  <c r="BW139" i="23"/>
  <c r="CC139" i="23" s="1"/>
  <c r="BY130" i="23"/>
  <c r="CF114" i="23"/>
  <c r="CD100" i="23"/>
  <c r="CE99" i="23" s="1"/>
  <c r="BZ99" i="23"/>
  <c r="BX109" i="23"/>
  <c r="BY109" i="23" s="1"/>
  <c r="CD130" i="23"/>
  <c r="CE129" i="23" s="1"/>
  <c r="BZ129" i="23"/>
  <c r="BX139" i="23"/>
  <c r="BY139" i="23" s="1"/>
  <c r="AU63" i="23"/>
  <c r="AV63" i="23" s="1"/>
  <c r="AW60" i="23" s="1"/>
  <c r="BH59" i="23"/>
  <c r="BO109" i="23"/>
  <c r="BK108" i="23"/>
  <c r="BJ130" i="23"/>
  <c r="BO130" i="23"/>
  <c r="BG50" i="23"/>
  <c r="BH121" i="23"/>
  <c r="BO133" i="23"/>
  <c r="BN109" i="23"/>
  <c r="BP108" i="23" s="1"/>
  <c r="BQ99" i="23" s="1"/>
  <c r="BJ109" i="23"/>
  <c r="BN133" i="23"/>
  <c r="BP132" i="23" s="1"/>
  <c r="BJ133" i="23"/>
  <c r="BJ35" i="23"/>
  <c r="BK35" i="23" s="1"/>
  <c r="BL32" i="23" s="1"/>
  <c r="BJ65" i="23"/>
  <c r="BK65" i="23" s="1"/>
  <c r="BP14" i="23"/>
  <c r="BG44" i="23"/>
  <c r="BG45" i="23" s="1"/>
  <c r="BO21" i="23"/>
  <c r="BQ21" i="23" s="1"/>
  <c r="BV61" i="23"/>
  <c r="BW61" i="23" s="1"/>
  <c r="BY58" i="23"/>
  <c r="BZ58" i="23" s="1"/>
  <c r="BY64" i="23"/>
  <c r="BZ64" i="23" s="1"/>
  <c r="BV67" i="23"/>
  <c r="BW64" i="23"/>
  <c r="BY35" i="23"/>
  <c r="BZ35" i="23" s="1"/>
  <c r="CA32" i="23" s="1"/>
  <c r="BW35" i="23"/>
  <c r="BY29" i="23"/>
  <c r="BZ29" i="23" s="1"/>
  <c r="CA26" i="23" s="1"/>
  <c r="BH58" i="23"/>
  <c r="BJ58" i="23"/>
  <c r="BK58" i="23" s="1"/>
  <c r="BG64" i="23"/>
  <c r="T26" i="23"/>
  <c r="R59" i="23"/>
  <c r="S59" i="23" s="1"/>
  <c r="T56" i="23" s="1"/>
  <c r="R53" i="23"/>
  <c r="S53" i="23" s="1"/>
  <c r="T50" i="23" s="1"/>
  <c r="BH50" i="23" l="1"/>
  <c r="BG51" i="23"/>
  <c r="BJ51" i="23" s="1"/>
  <c r="BK51" i="23" s="1"/>
  <c r="BL48" i="23" s="1"/>
  <c r="CD139" i="23"/>
  <c r="CE138" i="23" s="1"/>
  <c r="CF129" i="23" s="1"/>
  <c r="BZ138" i="23"/>
  <c r="CD109" i="23"/>
  <c r="CE108" i="23" s="1"/>
  <c r="CF99" i="23" s="1"/>
  <c r="BZ108" i="23"/>
  <c r="BP21" i="23"/>
  <c r="BI136" i="23" s="1"/>
  <c r="BK135" i="23" s="1"/>
  <c r="BI121" i="23"/>
  <c r="BK120" i="23" s="1"/>
  <c r="BH124" i="23"/>
  <c r="BN121" i="23"/>
  <c r="BP120" i="23" s="1"/>
  <c r="BJ50" i="23"/>
  <c r="BK50" i="23" s="1"/>
  <c r="BG66" i="23"/>
  <c r="BJ66" i="23" s="1"/>
  <c r="BK66" i="23" s="1"/>
  <c r="BH136" i="23"/>
  <c r="BG60" i="23"/>
  <c r="BG61" i="23" s="1"/>
  <c r="BH44" i="23"/>
  <c r="BJ44" i="23"/>
  <c r="BK44" i="23" s="1"/>
  <c r="BY61" i="23"/>
  <c r="BZ61" i="23" s="1"/>
  <c r="CA58" i="23" s="1"/>
  <c r="BW67" i="23"/>
  <c r="BY67" i="23"/>
  <c r="BZ67" i="23" s="1"/>
  <c r="CA64" i="23" s="1"/>
  <c r="BH64" i="23"/>
  <c r="BJ64" i="23"/>
  <c r="BK64" i="23" s="1"/>
  <c r="BJ45" i="23"/>
  <c r="BK45" i="23" s="1"/>
  <c r="BL42" i="23" s="1"/>
  <c r="BH45" i="23"/>
  <c r="BG67" i="23" l="1"/>
  <c r="BJ67" i="23" s="1"/>
  <c r="BK67" i="23" s="1"/>
  <c r="BL64" i="23" s="1"/>
  <c r="BH66" i="23"/>
  <c r="BH51" i="23"/>
  <c r="BO136" i="23"/>
  <c r="BI139" i="23"/>
  <c r="BO121" i="23"/>
  <c r="BI124" i="23"/>
  <c r="BJ121" i="23"/>
  <c r="BN136" i="23"/>
  <c r="BP135" i="23" s="1"/>
  <c r="BJ136" i="23"/>
  <c r="BH139" i="23"/>
  <c r="BN124" i="23"/>
  <c r="BP123" i="23" s="1"/>
  <c r="BQ114" i="23" s="1"/>
  <c r="BJ60" i="23"/>
  <c r="BK60" i="23" s="1"/>
  <c r="BH60" i="23"/>
  <c r="BH61" i="23"/>
  <c r="BJ61" i="23"/>
  <c r="BK61" i="23" s="1"/>
  <c r="BL58" i="23" s="1"/>
  <c r="BH67" i="23" l="1"/>
  <c r="BO124" i="23"/>
  <c r="BK123" i="23"/>
  <c r="BO139" i="23"/>
  <c r="BK138" i="23"/>
  <c r="BJ124" i="23"/>
  <c r="BN139" i="23"/>
  <c r="BP138" i="23" s="1"/>
  <c r="BQ129" i="23" s="1"/>
  <c r="BJ139" i="23"/>
</calcChain>
</file>

<file path=xl/comments1.xml><?xml version="1.0" encoding="utf-8"?>
<comments xmlns="http://schemas.openxmlformats.org/spreadsheetml/2006/main">
  <authors>
    <author>Emily Halcon</author>
  </authors>
  <commentList>
    <comment ref="C3" authorId="0" shapeId="0">
      <text>
        <r>
          <rPr>
            <b/>
            <sz val="9"/>
            <color indexed="81"/>
            <rFont val="Tahoma"/>
            <family val="2"/>
          </rPr>
          <t>Input changes to permanent housing exit rate for single adult programs by program type in yellow cells.  Graphs will automatically change to reflect the impact of these changes on exit rates and average costs.</t>
        </r>
      </text>
    </comment>
    <comment ref="I3" authorId="0" shapeId="0">
      <text>
        <r>
          <rPr>
            <b/>
            <sz val="9"/>
            <color indexed="81"/>
            <rFont val="Tahoma"/>
            <family val="2"/>
          </rPr>
          <t>Input changes to permanent housing exit rate for family programs by program type in yellow cells.  Graphs will automatically change to reflect the impact of these changes on exit rates and average costs.</t>
        </r>
      </text>
    </comment>
  </commentList>
</comments>
</file>

<file path=xl/comments2.xml><?xml version="1.0" encoding="utf-8"?>
<comments xmlns="http://schemas.openxmlformats.org/spreadsheetml/2006/main">
  <authors>
    <author>Emily Halcon</author>
  </authors>
  <commentList>
    <comment ref="C3" authorId="0" shapeId="0">
      <text>
        <r>
          <rPr>
            <b/>
            <sz val="9"/>
            <color indexed="81"/>
            <rFont val="Tahoma"/>
            <family val="2"/>
          </rPr>
          <t>Input new average length of stay for single adult programs by program type in yellow cells.  Graphs will automatically change to reflect the impact of these changes on exit rates and average costs.</t>
        </r>
        <r>
          <rPr>
            <sz val="9"/>
            <color indexed="81"/>
            <rFont val="Tahoma"/>
            <family val="2"/>
          </rPr>
          <t xml:space="preserve">
</t>
        </r>
      </text>
    </comment>
    <comment ref="I3" authorId="0" shapeId="0">
      <text>
        <r>
          <rPr>
            <b/>
            <sz val="9"/>
            <color indexed="81"/>
            <rFont val="Tahoma"/>
            <family val="2"/>
          </rPr>
          <t xml:space="preserve">Input new average length of stay for family programs by program type in yellow cells.  Graphs will automatically change to reflect the impact of these changes on exit rates and average costs.
</t>
        </r>
        <r>
          <rPr>
            <sz val="9"/>
            <color indexed="81"/>
            <rFont val="Tahoma"/>
            <family val="2"/>
          </rPr>
          <t xml:space="preserve">
</t>
        </r>
      </text>
    </comment>
  </commentList>
</comments>
</file>

<file path=xl/comments3.xml><?xml version="1.0" encoding="utf-8"?>
<comments xmlns="http://schemas.openxmlformats.org/spreadsheetml/2006/main">
  <authors>
    <author>Emily Halcon</author>
  </authors>
  <commentList>
    <comment ref="C3" authorId="0" shapeId="0">
      <text>
        <r>
          <rPr>
            <b/>
            <sz val="9"/>
            <color indexed="81"/>
            <rFont val="Tahoma"/>
            <family val="2"/>
          </rPr>
          <t>Input changes in investments (use a "-" to remove money) for single adult programs by program type in the yellow cells.  Graphs will automatically change to reflect the impact of these changes on exit rates, PSH capacity and investments.</t>
        </r>
        <r>
          <rPr>
            <sz val="9"/>
            <color indexed="81"/>
            <rFont val="Tahoma"/>
            <family val="2"/>
          </rPr>
          <t xml:space="preserve">
</t>
        </r>
      </text>
    </comment>
    <comment ref="I3" authorId="0" shapeId="0">
      <text>
        <r>
          <rPr>
            <b/>
            <sz val="9"/>
            <color indexed="81"/>
            <rFont val="Tahoma"/>
            <family val="2"/>
          </rPr>
          <t>Input changes in investments (use a "-" to remove money) for family programs by program type in the yellow cells.  Graphs will automatically change to reflect the impact of these changes on exit rates, PSH capacity and investments.</t>
        </r>
      </text>
    </comment>
  </commentList>
</comments>
</file>

<file path=xl/comments4.xml><?xml version="1.0" encoding="utf-8"?>
<comments xmlns="http://schemas.openxmlformats.org/spreadsheetml/2006/main">
  <authors>
    <author>Emily Halcon</author>
  </authors>
  <commentList>
    <comment ref="C3" authorId="0" shapeId="0">
      <text>
        <r>
          <rPr>
            <b/>
            <sz val="9"/>
            <color indexed="81"/>
            <rFont val="Tahoma"/>
            <family val="2"/>
          </rPr>
          <t>Insert change in average rate of returns to homelessness for single adult programs, by program type in the yellow cells.  Graphs will automatically change to reflect the impact of these changes on rate of returns and permanent exits that "stick".</t>
        </r>
      </text>
    </comment>
    <comment ref="I3" authorId="0" shapeId="0">
      <text>
        <r>
          <rPr>
            <b/>
            <sz val="9"/>
            <color indexed="81"/>
            <rFont val="Tahoma"/>
            <family val="2"/>
          </rPr>
          <t>Insert change in average rate of returns to homelessness for family programs, by program type in the yellow cells.  Graphs will automatically change to reflect the impact of these changes on rate of returns and permanent exits that "stick".</t>
        </r>
      </text>
    </comment>
  </commentList>
</comments>
</file>

<file path=xl/comments5.xml><?xml version="1.0" encoding="utf-8"?>
<comments xmlns="http://schemas.openxmlformats.org/spreadsheetml/2006/main">
  <authors>
    <author>Emily Halcon</author>
  </authors>
  <commentList>
    <comment ref="C2" authorId="0" shapeId="0">
      <text>
        <r>
          <rPr>
            <b/>
            <sz val="10"/>
            <color indexed="81"/>
            <rFont val="Tahoma"/>
            <family val="2"/>
          </rPr>
          <t xml:space="preserve">Insert changes to one or all performance indicators for single adult programs, by program type, in the yellow cells.
</t>
        </r>
      </text>
    </comment>
    <comment ref="I2" authorId="0" shapeId="0">
      <text>
        <r>
          <rPr>
            <b/>
            <sz val="10"/>
            <color indexed="81"/>
            <rFont val="Tahoma"/>
            <family val="2"/>
          </rPr>
          <t>Insert changes to one or all performance indicators for adult only programs, by program type, in the yellow cells.</t>
        </r>
      </text>
    </comment>
  </commentList>
</comments>
</file>

<file path=xl/sharedStrings.xml><?xml version="1.0" encoding="utf-8"?>
<sst xmlns="http://schemas.openxmlformats.org/spreadsheetml/2006/main" count="1628" uniqueCount="356">
  <si>
    <t>Total</t>
  </si>
  <si>
    <t>Rapid ReHousing</t>
  </si>
  <si>
    <t>Rapid Re-Housing</t>
  </si>
  <si>
    <t>Transitional Housing</t>
  </si>
  <si>
    <t>Emergency Shelter</t>
  </si>
  <si>
    <t>Current</t>
  </si>
  <si>
    <t>New</t>
  </si>
  <si>
    <t>Current LOS</t>
  </si>
  <si>
    <t>New LOS</t>
  </si>
  <si>
    <t>Current PH Exits</t>
  </si>
  <si>
    <t>New PH Exits</t>
  </si>
  <si>
    <t>$ Change</t>
  </si>
  <si>
    <t>Emergency Shelters</t>
  </si>
  <si>
    <t>CURRENT</t>
  </si>
  <si>
    <t>NEW</t>
  </si>
  <si>
    <t>PROGRAM</t>
  </si>
  <si>
    <t>TOTAL EXITS</t>
  </si>
  <si>
    <t>Permanent Supportive Housing</t>
  </si>
  <si>
    <t>Rate of Return to Hmls</t>
  </si>
  <si>
    <t>N/A</t>
  </si>
  <si>
    <t>Average (weighted)</t>
  </si>
  <si>
    <t>Current Investment</t>
  </si>
  <si>
    <t>New Investment</t>
  </si>
  <si>
    <t>Total System</t>
  </si>
  <si>
    <t>PSH Investment Per Unit</t>
  </si>
  <si>
    <t>NEW UNITS</t>
  </si>
  <si>
    <t>Future</t>
  </si>
  <si>
    <t>LOS</t>
  </si>
  <si>
    <t>Rate of Net Exits to PH</t>
  </si>
  <si>
    <t>NEW LOS</t>
  </si>
  <si>
    <t>Net Exits to PH</t>
  </si>
  <si>
    <t>CHANGES</t>
  </si>
  <si>
    <t>ES</t>
  </si>
  <si>
    <t>TH</t>
  </si>
  <si>
    <t>Rate of Exits to PH</t>
  </si>
  <si>
    <t>INVESTMENT</t>
  </si>
  <si>
    <t>NET PH EXITS</t>
  </si>
  <si>
    <t>$/NET PH EXIT</t>
  </si>
  <si>
    <t>CHANGE</t>
  </si>
  <si>
    <t>Family Households</t>
  </si>
  <si>
    <t>All Households</t>
  </si>
  <si>
    <t>CHANGE IN INVESTMENT</t>
  </si>
  <si>
    <t>MODIFIED</t>
  </si>
  <si>
    <t>Data for Graphs:</t>
  </si>
  <si>
    <t>FAMILY HOUSEHOLDS</t>
  </si>
  <si>
    <t>ALL HOUSEHOLDS</t>
  </si>
  <si>
    <t>CHANGE IN LOS</t>
  </si>
  <si>
    <t>CAPACITY</t>
  </si>
  <si>
    <t>TURNOVER</t>
  </si>
  <si>
    <t>Current $/PH Exit</t>
  </si>
  <si>
    <t>New $/PH Exit</t>
  </si>
  <si>
    <t>EXITS TO PH</t>
  </si>
  <si>
    <t>PH EXIT RATE</t>
  </si>
  <si>
    <t>RETURN RATE</t>
  </si>
  <si>
    <t>RR</t>
  </si>
  <si>
    <t>Change</t>
  </si>
  <si>
    <t>↑</t>
  </si>
  <si>
    <t>↓</t>
  </si>
  <si>
    <t>Perm. Supportive Hsg</t>
  </si>
  <si>
    <t>Current PH Exit Rate</t>
  </si>
  <si>
    <t>New PH Exit Rate</t>
  </si>
  <si>
    <t>Current Return Rate</t>
  </si>
  <si>
    <t>New Return Rate</t>
  </si>
  <si>
    <t>NET PH EXIT</t>
  </si>
  <si>
    <t>PSH</t>
  </si>
  <si>
    <t>CURRENT OUTCOMES</t>
  </si>
  <si>
    <t>Exits to PH - Adult Only HHs</t>
  </si>
  <si>
    <t>Exits to PH - Family HHs</t>
  </si>
  <si>
    <t>Exits to PH - All HHs</t>
  </si>
  <si>
    <t>Rate of Exit to PH - Adult Only HHs</t>
  </si>
  <si>
    <t>Rate of Exit to PH - Family HHs</t>
  </si>
  <si>
    <t>Rate of Exit to PH - All HHs</t>
  </si>
  <si>
    <t>CURRENT COSTS</t>
  </si>
  <si>
    <t>Investments - Adult Only HHs</t>
  </si>
  <si>
    <t>Investements - Family HHs</t>
  </si>
  <si>
    <t>Investments - All HHs</t>
  </si>
  <si>
    <t>Cost/Exit</t>
  </si>
  <si>
    <t>Cost/PH Exit</t>
  </si>
  <si>
    <t>+</t>
  </si>
  <si>
    <t>-</t>
  </si>
  <si>
    <t>Change in PH Exits Data for Graphs:</t>
  </si>
  <si>
    <t>GROSS PH EXITS</t>
  </si>
  <si>
    <t>Transitional Hsg</t>
  </si>
  <si>
    <t>Rapid Re-housing</t>
  </si>
  <si>
    <t>"Ghost" data (for labeling only)</t>
  </si>
  <si>
    <t>$/GROSS PH Exit</t>
  </si>
  <si>
    <t>CHANGE IN PH EXITS</t>
  </si>
  <si>
    <t>CHANGE IN RETURNS TO HOMELESSNESS</t>
  </si>
  <si>
    <t>System Capacity</t>
  </si>
  <si>
    <t>Annual Exits</t>
  </si>
  <si>
    <t>Annual Exits to PH</t>
  </si>
  <si>
    <t>SUMMARY REALLOCATOR (free entry)</t>
  </si>
  <si>
    <t>SUMMARY REALLOCATOR (auto-populated)</t>
  </si>
  <si>
    <t>$/PH EXIT</t>
  </si>
  <si>
    <t>PH EXITS</t>
  </si>
  <si>
    <t>$/PH Exit</t>
  </si>
  <si>
    <t>$/ PH EXIT</t>
  </si>
  <si>
    <t>System Investment</t>
  </si>
  <si>
    <t>System Performance</t>
  </si>
  <si>
    <r>
      <t xml:space="preserve">Investments </t>
    </r>
    <r>
      <rPr>
        <b/>
        <vertAlign val="superscript"/>
        <sz val="10"/>
        <color theme="0"/>
        <rFont val="Arial Narrow"/>
        <family val="2"/>
      </rPr>
      <t>2</t>
    </r>
  </si>
  <si>
    <r>
      <t xml:space="preserve">Total Annual Exits </t>
    </r>
    <r>
      <rPr>
        <b/>
        <vertAlign val="superscript"/>
        <sz val="10"/>
        <color theme="0"/>
        <rFont val="Arial Narrow"/>
        <family val="2"/>
      </rPr>
      <t>3</t>
    </r>
  </si>
  <si>
    <r>
      <t xml:space="preserve">Annual Exits to PH </t>
    </r>
    <r>
      <rPr>
        <b/>
        <vertAlign val="superscript"/>
        <sz val="10"/>
        <color theme="0"/>
        <rFont val="Arial Narrow"/>
        <family val="2"/>
      </rPr>
      <t>4</t>
    </r>
  </si>
  <si>
    <r>
      <t xml:space="preserve">Annual Capacity </t>
    </r>
    <r>
      <rPr>
        <b/>
        <vertAlign val="superscript"/>
        <sz val="10"/>
        <color theme="0"/>
        <rFont val="Arial Narrow"/>
        <family val="2"/>
      </rPr>
      <t>1</t>
    </r>
  </si>
  <si>
    <r>
      <t xml:space="preserve">Returns to Homelessness </t>
    </r>
    <r>
      <rPr>
        <b/>
        <vertAlign val="superscript"/>
        <sz val="10"/>
        <color theme="0"/>
        <rFont val="Arial Narrow"/>
        <family val="2"/>
      </rPr>
      <t>5</t>
    </r>
  </si>
  <si>
    <t>Programs Serving Family Households</t>
  </si>
  <si>
    <r>
      <t xml:space="preserve">Total Beds in </t>
    </r>
    <r>
      <rPr>
        <b/>
        <u/>
        <sz val="10"/>
        <color indexed="8"/>
        <rFont val="Arial Narrow"/>
        <family val="2"/>
      </rPr>
      <t>Programs for which budget data is available</t>
    </r>
  </si>
  <si>
    <r>
      <t xml:space="preserve">Total Investment from </t>
    </r>
    <r>
      <rPr>
        <b/>
        <u/>
        <sz val="10"/>
        <color indexed="8"/>
        <rFont val="Arial Narrow"/>
        <family val="2"/>
      </rPr>
      <t>Programs for which budget data is available</t>
    </r>
  </si>
  <si>
    <t>Total Beds in Dataset</t>
  </si>
  <si>
    <t>Estimated Total Investment, 
All Programs in Dataset</t>
  </si>
  <si>
    <t>Current Returns</t>
  </si>
  <si>
    <t>New Returns</t>
  </si>
  <si>
    <t>Current PH Exits that "Stick"</t>
  </si>
  <si>
    <t>New PH Exits that "Stick"</t>
  </si>
  <si>
    <t>Difference</t>
  </si>
  <si>
    <t>Change in PH that Stick</t>
  </si>
  <si>
    <t>Difference (current then new)</t>
  </si>
  <si>
    <t>Current Rate of Return</t>
  </si>
  <si>
    <t>New Rate of Return</t>
  </si>
  <si>
    <t>All Programs</t>
  </si>
  <si>
    <t>PROGRAM INPUT TABLE INSTRUCTIONS:</t>
  </si>
  <si>
    <t>9C. Change in Permanent Housing Exits
All Households</t>
  </si>
  <si>
    <t>Existing PSH Capacity</t>
  </si>
  <si>
    <t>New PSH Capacity</t>
  </si>
  <si>
    <t>If your community wishes to calculate the estimated system investments for some or all of the program types, please complete the following tables (yellow cells only) on the programs that gave you investment data.  Input the amounts in rows 18 and 25 into rows 8 and 9, respectively, of tab 2: Program Input.</t>
  </si>
  <si>
    <t>Average Length of Stay (days)</t>
  </si>
  <si>
    <t>Total or Average</t>
  </si>
  <si>
    <t>Average LOS</t>
  </si>
  <si>
    <t>Average LOS - Adult Only HHs</t>
  </si>
  <si>
    <t>Average LOS - Family HHs</t>
  </si>
  <si>
    <t>Average LOS - All HHs</t>
  </si>
  <si>
    <t>Tab Number</t>
  </si>
  <si>
    <t>Contents</t>
  </si>
  <si>
    <t>1a. Executive Summary</t>
  </si>
  <si>
    <t>1b. Getting Started</t>
  </si>
  <si>
    <t>1c. FAQs</t>
  </si>
  <si>
    <t>3. Investment Worksheet</t>
  </si>
  <si>
    <t>4. Current Outcomes</t>
  </si>
  <si>
    <t>5. Curent Investments</t>
  </si>
  <si>
    <t>6. Change PH Exits</t>
  </si>
  <si>
    <t>7. Change LOS</t>
  </si>
  <si>
    <t>8. Change Investments</t>
  </si>
  <si>
    <t>9. Change Returns to Homelessness</t>
  </si>
  <si>
    <t>∙ Charts showing changes to PH exits and costs when changes are made to the rate of return to homelessness</t>
  </si>
  <si>
    <t>∙ Charts showing the additive impacts of the changes made in tabs 6, 7, 8 and 9.</t>
  </si>
  <si>
    <t>(a) Using household identifiers in HMIS, "collapse" the client level records into household level records, applying locally appropriate decision rules to address discrepant data among family members (e.g. if one member has a different exit destination than another).</t>
  </si>
  <si>
    <t>Average Length of Stay (LOS)</t>
  </si>
  <si>
    <t>Rate of Permanent Housing Exits</t>
  </si>
  <si>
    <t>Rate of Returns</t>
  </si>
  <si>
    <r>
      <t xml:space="preserve">Number of days in a year divided by the turnover rate of all beds/capacity
</t>
    </r>
    <r>
      <rPr>
        <i/>
        <sz val="11"/>
        <color indexed="8"/>
        <rFont val="Arial Narrow"/>
        <family val="2"/>
      </rPr>
      <t xml:space="preserve">365  </t>
    </r>
    <r>
      <rPr>
        <i/>
        <sz val="11"/>
        <color indexed="8"/>
        <rFont val="Calibri"/>
        <family val="2"/>
      </rPr>
      <t>÷</t>
    </r>
    <r>
      <rPr>
        <i/>
        <sz val="11"/>
        <color indexed="8"/>
        <rFont val="Arial Narrow"/>
        <family val="2"/>
      </rPr>
      <t xml:space="preserve"> (total exits in a year </t>
    </r>
    <r>
      <rPr>
        <i/>
        <sz val="11"/>
        <color indexed="8"/>
        <rFont val="Calibri"/>
        <family val="2"/>
      </rPr>
      <t>÷</t>
    </r>
    <r>
      <rPr>
        <i/>
        <sz val="11"/>
        <color indexed="8"/>
        <rFont val="Arial Narrow"/>
        <family val="2"/>
      </rPr>
      <t xml:space="preserve"> total annual capacity)</t>
    </r>
  </si>
  <si>
    <r>
      <t xml:space="preserve">Percent of all annual exits that are to permanent housing locations
</t>
    </r>
    <r>
      <rPr>
        <i/>
        <sz val="11"/>
        <color indexed="8"/>
        <rFont val="Arial Narrow"/>
        <family val="2"/>
      </rPr>
      <t xml:space="preserve"># annual exits to PH </t>
    </r>
    <r>
      <rPr>
        <i/>
        <sz val="11"/>
        <color indexed="8"/>
        <rFont val="Calibri"/>
        <family val="2"/>
      </rPr>
      <t>÷</t>
    </r>
    <r>
      <rPr>
        <i/>
        <sz val="11"/>
        <color indexed="8"/>
        <rFont val="Arial Narrow"/>
        <family val="2"/>
      </rPr>
      <t xml:space="preserve"> total exits in a year</t>
    </r>
  </si>
  <si>
    <r>
      <t xml:space="preserve">Percent of all annual exits to PH that return to a HMIS homeless program (ES, TH, HPRP-RR) within a year after exiting
</t>
    </r>
    <r>
      <rPr>
        <i/>
        <sz val="11"/>
        <color indexed="8"/>
        <rFont val="Arial Narrow"/>
        <family val="2"/>
      </rPr>
      <t xml:space="preserve"># returns to homelessness </t>
    </r>
    <r>
      <rPr>
        <sz val="11"/>
        <color indexed="8"/>
        <rFont val="Calibri"/>
        <family val="2"/>
      </rPr>
      <t>÷</t>
    </r>
    <r>
      <rPr>
        <i/>
        <sz val="11"/>
        <color indexed="8"/>
        <rFont val="Arial Narrow"/>
        <family val="2"/>
      </rPr>
      <t xml:space="preserve"> # annual exits to PH</t>
    </r>
  </si>
  <si>
    <r>
      <t xml:space="preserve">Total number of PH exits that "stick" (e.g.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annual exits to PH - (# annual exits to PH * rate of return)</t>
    </r>
  </si>
  <si>
    <r>
      <t xml:space="preserve">Percent of all annual exits to PH that "stick"(e.g. do </t>
    </r>
    <r>
      <rPr>
        <u/>
        <sz val="11"/>
        <color indexed="8"/>
        <rFont val="Arial Narrow"/>
        <family val="2"/>
      </rPr>
      <t>not</t>
    </r>
    <r>
      <rPr>
        <sz val="11"/>
        <color indexed="8"/>
        <rFont val="Arial Narrow"/>
        <family val="2"/>
      </rPr>
      <t xml:space="preserve"> return to homelessness within a year)
</t>
    </r>
    <r>
      <rPr>
        <i/>
        <sz val="11"/>
        <color indexed="8"/>
        <rFont val="Arial Narrow"/>
        <family val="2"/>
      </rPr>
      <t xml:space="preserve"># annual net exits to PH </t>
    </r>
    <r>
      <rPr>
        <sz val="11"/>
        <color indexed="8"/>
        <rFont val="Calibri"/>
        <family val="2"/>
      </rPr>
      <t>÷</t>
    </r>
    <r>
      <rPr>
        <i/>
        <sz val="11"/>
        <color indexed="8"/>
        <rFont val="Arial Narrow"/>
        <family val="2"/>
      </rPr>
      <t xml:space="preserve"> total exits in a year</t>
    </r>
  </si>
  <si>
    <t>HH</t>
  </si>
  <si>
    <t>HPRP-RR/RR</t>
  </si>
  <si>
    <t>PH</t>
  </si>
  <si>
    <t>Household</t>
  </si>
  <si>
    <t>Homelessness Prevention and Rapid Re-Housing Program (Rapid Re-Housing)</t>
  </si>
  <si>
    <t>Length of Stay</t>
  </si>
  <si>
    <t>Permanent Housing</t>
  </si>
  <si>
    <t>HMIS</t>
  </si>
  <si>
    <t>Homeless Management Information System</t>
  </si>
  <si>
    <t>HIC</t>
  </si>
  <si>
    <t>Housing Inventory Chart</t>
  </si>
  <si>
    <t>PIT</t>
  </si>
  <si>
    <t>∙ Overview of the Calculator's purpose</t>
  </si>
  <si>
    <t>∙ Navigating the Calculator</t>
  </si>
  <si>
    <t>∙ Charts showing current investment strategy performance</t>
  </si>
  <si>
    <t>∙ Charts showing impact on system performance when changes are made to the average LOS</t>
  </si>
  <si>
    <t>General Layout of Calculator:</t>
  </si>
  <si>
    <t>∙ Answers to frequently asked questions</t>
  </si>
  <si>
    <t>∙ Entry point for HMIS, capacity, and investment data
∙ Computes current system performance outcomes</t>
  </si>
  <si>
    <t>∙ Optional worksheet for estimating investments
∙ Helpful if  investment data is not available from all programs</t>
  </si>
  <si>
    <t>∙ Charts showing current performance: LOS and PH exits</t>
  </si>
  <si>
    <t>∙ Charts showing how rate of exiting households to PH impacts system performance</t>
  </si>
  <si>
    <t>∙ Charts showing changes to costs per PH exit and PSH capacity when investments are changed</t>
  </si>
  <si>
    <t>∙ Allows program and investment changes to all four components in one page</t>
  </si>
  <si>
    <t>Navigating  the Calculator:</t>
  </si>
  <si>
    <t>11. Change All Calculator</t>
  </si>
  <si>
    <t>Use of Calculator:</t>
  </si>
  <si>
    <t>6B. Change in Permanent Housing Exits
Family Households</t>
  </si>
  <si>
    <t>7B. Change in Average Cost per Permanent Housing Exit
Family Households</t>
  </si>
  <si>
    <t>6C. Change in Permanent Housing Exits
All Households</t>
  </si>
  <si>
    <t>7C. Change in Average Cost per Permanent Housing Exit
All Households</t>
  </si>
  <si>
    <t>8B. Average LOS Family Households</t>
  </si>
  <si>
    <t>8C. Average LOS All Households</t>
  </si>
  <si>
    <t>9B.Change in Permanent Housing Exits
Family Households</t>
  </si>
  <si>
    <t>10B. Change in Average Cost per Permanent Housing Exit
Family Households</t>
  </si>
  <si>
    <t>10C. Change in Average Cost per Permanent Housing Exit
All Households</t>
  </si>
  <si>
    <t>11B. Change in Permanent Housing Exits
Family Households</t>
  </si>
  <si>
    <t>12B. Change in Permanent Supportive Housing Capacity
Family Households</t>
  </si>
  <si>
    <t>11C. Change in Permanent Housing Exits
All Households</t>
  </si>
  <si>
    <t>12C. Change in Permanent Supportive Housing Capacity
All Households</t>
  </si>
  <si>
    <t>14B. Rate of Return to Homelessness
Family Households</t>
  </si>
  <si>
    <t>15B. Permanent Housing Exits that "Stick"
Family Households</t>
  </si>
  <si>
    <t>14C. Rate of Return to Homelessness
All Households</t>
  </si>
  <si>
    <t>15C. Permanent Housing Exits that "Stick"
All Households</t>
  </si>
  <si>
    <t>16B. Change in Permanent Housing Exits
Family Households</t>
  </si>
  <si>
    <t>17B. Change in Average Cost per Permanent Housing Exit
Family Households</t>
  </si>
  <si>
    <t>18B. Change in Perm. Supportive Housing Capacity
Family Households</t>
  </si>
  <si>
    <t>16C. Change in Permanent Housing Exits
All Households</t>
  </si>
  <si>
    <t>17C. Change in Average Cost per Permanent Housing Exit
All Households</t>
  </si>
  <si>
    <t>18C. Change in Perm. Supportive Housing Capacity
All Households</t>
  </si>
  <si>
    <t>19B. Rate of Return to Homelessness
Family Households</t>
  </si>
  <si>
    <t>19C. Rate of Return to Homelessness
All Households</t>
  </si>
  <si>
    <t>20B. Change in Permanent Housing Exits that "Stick"
Family Households</t>
  </si>
  <si>
    <t>20C. Change in Permanent Housing Exits that "Stick"
All Households</t>
  </si>
  <si>
    <t>22B. Change in Permanent Housing Exits
Family Households</t>
  </si>
  <si>
    <t>23B. Change in Average Cost per Permanent Housing Exit
Family Households</t>
  </si>
  <si>
    <t>26B. Change in Perm. Supportive Housing Capacity
Family Households</t>
  </si>
  <si>
    <t>22C. Change in Permanent Housing Exits
All Households</t>
  </si>
  <si>
    <t>23C. Change in Average Cost per Permanent Housing Exit
All Households</t>
  </si>
  <si>
    <t>26C. Change in Perm. Supportive Housing Capacity
All Households</t>
  </si>
  <si>
    <t>24B. Rate of Return to Homelessness
Family Households</t>
  </si>
  <si>
    <t>24C. Rate of Return to Homelessness
All Households</t>
  </si>
  <si>
    <t>25B. Change in Permanent Housing Exits that "Stick"
Family Households</t>
  </si>
  <si>
    <t>25C. Change in Permanent Housing Exits that "Stick"
All Households</t>
  </si>
  <si>
    <t>2. Data Input</t>
  </si>
  <si>
    <t>2. Where should I get the data from?</t>
  </si>
  <si>
    <t>3. What can I do if I only have budget information for some programs?</t>
  </si>
  <si>
    <t>Estimating Investments</t>
  </si>
  <si>
    <t>10. Summary of Changes</t>
  </si>
  <si>
    <t>If a change is made to the rate at which family households exit programs to permanent housing, the total number of permanent housing exits (shown in the red bars), will also change.</t>
  </si>
  <si>
    <t>If a change is made to the rate at which households exit programs to permanent housing, the total number of permanent housing exits (shown in the red bars), will also change.</t>
  </si>
  <si>
    <t>If additional funding is allocated for permanent supportive housing, additional annual capacity is added as shown in the light purple.  Note that this does not include the cost to build new permanent supportive housing units, only to operate them and provide services.</t>
  </si>
  <si>
    <t>Instructions</t>
  </si>
  <si>
    <t>Data Input</t>
  </si>
  <si>
    <t>Current Performance</t>
  </si>
  <si>
    <t>Change one program practice or investment strategy and see the impact of that change on system performance</t>
  </si>
  <si>
    <t>Type of Tab</t>
  </si>
  <si>
    <t>View all changes made in blue tabs</t>
  </si>
  <si>
    <t>Input changes to all areas in one tab</t>
  </si>
  <si>
    <t>Getting Started in Excel:</t>
  </si>
  <si>
    <t>1. What type of data is needed to complete the Calculator?</t>
  </si>
  <si>
    <t>The Calculator requires three types of data, which are described below.  Specific information about each data point, including how and where to obtain it, is detailed alongside the tables in the two yellow input tabs.</t>
  </si>
  <si>
    <r>
      <rPr>
        <vertAlign val="superscript"/>
        <sz val="10"/>
        <color indexed="8"/>
        <rFont val="Arial Narrow"/>
        <family val="2"/>
      </rPr>
      <t xml:space="preserve">2 </t>
    </r>
    <r>
      <rPr>
        <sz val="10"/>
        <color indexed="8"/>
        <rFont val="Arial Narrow"/>
        <family val="2"/>
      </rPr>
      <t xml:space="preserve"> The investment cells should include the total annual cost for all programs in HMIS in the program type.  This amount should include HUD dollars, private dollars, the value of outside services, and administrative costs.  In most communities, investment information will need to be obtained directly from the providers.  In the case that you are not able to obtain complete investment information on all programs for which you have performance data, Focus has created an investment worksheet tab to help calculate an average investment per bed.  </t>
    </r>
    <r>
      <rPr>
        <b/>
        <i/>
        <sz val="10"/>
        <color indexed="8"/>
        <rFont val="Arial Narrow"/>
        <family val="2"/>
      </rPr>
      <t>Note that the investment amount for PSH is annual operating and service costs only and does not include any capital costs.</t>
    </r>
  </si>
  <si>
    <r>
      <rPr>
        <i/>
        <sz val="11"/>
        <color indexed="8"/>
        <rFont val="Arial Narrow"/>
        <family val="2"/>
      </rPr>
      <t>[This sheet is optional.]</t>
    </r>
    <r>
      <rPr>
        <sz val="11"/>
        <color indexed="8"/>
        <rFont val="Arial Narrow"/>
        <family val="2"/>
      </rPr>
      <t xml:space="preserve">   In order to calculate average costs, the Calculator uses information about system investments.  It may be difficult to obtain resource information about all the programs for which performance data is available in HMIS.  In this case, a community can choose to limit its performance and capacity dataset to </t>
    </r>
    <r>
      <rPr>
        <u/>
        <sz val="11"/>
        <color indexed="8"/>
        <rFont val="Arial Narrow"/>
        <family val="2"/>
      </rPr>
      <t>just</t>
    </r>
    <r>
      <rPr>
        <sz val="11"/>
        <color indexed="8"/>
        <rFont val="Arial Narrow"/>
        <family val="2"/>
      </rPr>
      <t xml:space="preserve"> those programs that provided investment information.  Alternatively, if a community wishes to use all of the performance and capacity data, this worksheet can help to calculate an estimated system investment based on the resource information avialable for programs of the same type. </t>
    </r>
    <r>
      <rPr>
        <b/>
        <sz val="11"/>
        <color indexed="8"/>
        <rFont val="Arial Narrow"/>
        <family val="2"/>
      </rPr>
      <t xml:space="preserve"> Please note that this method assumes that the cost of programs that do not provide budget data are similar to those that do.  This may or may not be an accurate assumption.</t>
    </r>
  </si>
  <si>
    <t xml:space="preserve">Information about Safe Havens should be included in the program type that is most similar to how that program operates,  typically as transitional housing or permanent supportive housing, depending on local program rules. </t>
  </si>
  <si>
    <r>
      <t xml:space="preserve">This worksheet collects the five pieces of required data to populate the Performance Improvement Calculator: System Capacity, System Investments, Annual Exits, Annual Exits to Permanent Housing (PH), and Returns to Homelessness. Instructions to the right of this table explain how to input the data. If you have already completed The Alliance's Homeless System Evaluator Tool for your community, there are detailed instructions on how to transfer Evaluator data below the table.  </t>
    </r>
    <r>
      <rPr>
        <b/>
        <i/>
        <sz val="12"/>
        <color theme="1" tint="0.34998626667073579"/>
        <rFont val="Arial Narrow"/>
        <family val="2"/>
      </rPr>
      <t xml:space="preserve">The data in the yellow cells is sample data; please be sure to delete all the sample data before inputting local data.  </t>
    </r>
  </si>
  <si>
    <t>The Calculator contains 13 tabs.   Not all of the tabs will be visible at one time; use the arrow buttons at the bottom left of the screen to scroll through the tabs. If you cannot see the tabs, your scroll bar may be covering them.  In that case, highlight and "grab" the left side of the scroll bar and drag it to the right, revealing the tabs. The scroll bar at the bottom can be used to scroll left and right in the visible sheet and the scroll bar on the right can be used to scroll up and down on the visible sheet.</t>
  </si>
  <si>
    <t>The costs of operating the programs included in the analysis.  System investments should include all costs, inclusive of those paid with public and private funds.  The total cost includes administrative costs, operations and service delivery.  If there are services provided by an outside agency that are explicitly attached to the program (as is sometimes the case in permanent supportive housing and transitional housing), those costs should also be included, even if they are outside the provider agency's budget.</t>
  </si>
  <si>
    <t>Annual Point In Time Count</t>
  </si>
  <si>
    <t>The graphs below show the current average length of program stays and exits to permanent housing achieved by programs in the system serving family households.</t>
  </si>
  <si>
    <t>The graphs below show the current average length of program stays and exits to permanent housing achieved by all programs in the system.</t>
  </si>
  <si>
    <t>How many nights family households remain in homeless programs is directly related to the cost of serving those households (each night in a homeless program has an associated cost) and to the number of family households that can be served in a given number of beds.</t>
  </si>
  <si>
    <t>How many nights households remain in homeless programs is directly related to the cost of serving those households (each night in a homeless program has an associated cost) and to the number of households that can be served in a given number of beds.</t>
  </si>
  <si>
    <t>The graphs below show the current investment in the family portion of the homeless system by program type and the average costs.</t>
  </si>
  <si>
    <t>The graphs below show the current investment in the homeless system by program type and the average costs.</t>
  </si>
  <si>
    <t>The current average cost per exit (shown on the left ) is the total investment in each program type divided by the number of exits to any destination from that program type. It is essentially the cost per household served. The current average cost per permanent housing exit (shown on the right) is the investment divided by the number of permanent housing exits from that program type.</t>
  </si>
  <si>
    <t>The grey boxes below show the rate of permanent housing exits that your community is currently achieving.  Increasing the rate of exits to permanent housing in one or more program types will end homelessness for more family households and increase cost-effectiveness.</t>
  </si>
  <si>
    <t>The grey boxes below show the rate of permanent housing exits that your community is currently achieving.  Increasing the rate of exits to permanent housing in one or more program types will end homelessness for more households and increase cost-effectiveness.</t>
  </si>
  <si>
    <t>The current average cost per permanent housing exit (shown in the green bars) is the total investment divided by the number of permanent housing exits for each program type.  As the rate of family households exiting to permanent housing changes, the average cost for each exit to permanent housing (shown in the purple bars) also changes.</t>
  </si>
  <si>
    <t>The current average cost per permanent housing exit (shown in the green bars) is the total investment divided by the number of permanent housing exits for each program type.  As the rate of households exiting to permanent housing changes, the average cost for each exit to permanent housing (shown in the purple bars) also changes.</t>
  </si>
  <si>
    <t>The average length of stay reflects the number of times that beds turn over in a given year.  If a change is made to the average length of stay, the number of exits to permanent housing (shown in the red bars) will change, even though the rate of such exits remains the same, as the total number of households able to be served has changed.</t>
  </si>
  <si>
    <t>The current average cost per permanent housing exit (shown in the green bars) is impacted by how many exits there are in a year.  If the average length of stay changes, then the cost for each permanent housing exit (shown in the purple bars) changes conversely.</t>
  </si>
  <si>
    <t>When a change is made to investments in a program type(s), the number of familyhouseholds that can be served changes, and the number of exits to permanent housing (shown in the red bars) will change accordingly.</t>
  </si>
  <si>
    <t>When a change is made to investments in a program type(s), the number of households that can be served changes, and the number of exits to permanent housing (shown in the red bars) will change accordingly.</t>
  </si>
  <si>
    <t>The distribution of funds for family households by program type, reflecting any changes in resource allocations made above.</t>
  </si>
  <si>
    <t>The distribution of funds by program type, reflecting any changes in resource allocations made above.</t>
  </si>
  <si>
    <t>The current number of family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</si>
  <si>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current number of households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</si>
  <si>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The graphs below show the impact of all of the previous changes in permanent housing rates, lengths of stay, investments, and returns in all or parts of the system. The changes working together can increase impact more significantly than each change alone.</t>
  </si>
  <si>
    <t>These instructions describe how to input data into the Program Performance table to the left.  To print these instructions, select "Print" and select page 3.</t>
  </si>
  <si>
    <t>The Focus Strategies Performance Improvement Calculator is an interactive tool that lets communities use local cost and performance data on homeless programs to model strategies to increase the number of people who move from homelessness to permanent housing.  The Calculator, created in Microsoft Excel, uses key HMIS data and budget information about programs to assign costs, per permanent housing outcome, to different interventions within a community (typically shelter, transitional housing, rapid rehousing and permanent supportive housing).  Communities enter baseline data on the number of available beds/slots, annual exit rates, exits to permanent housing, returns to homelessness and resource investments for programs serving single adults and families. From these five data points, the Calculator generates charts that show current outcomes in each part of the system and the average cost of these outcomes.   Communities that have already completed the National Alliance to End Homelessness's Homeless System Evaluator tool will be able to use data from the Evaluator to populate the Calculator.</t>
  </si>
  <si>
    <t xml:space="preserve">There are thirteen tabs in the Calculator, each are numbered and color coded as listed below.  Each blue tab allows for changes to one system outcome or investment strategy; the goal of these tabs is to model the impact of each type of change in performance.  The Summary of Changes (orange) and Change All Calculator (pink) tabs allow changes to all performance areas to be reviewed or inputted in one view; these tabs show the cumulative impact of system changes.  </t>
  </si>
  <si>
    <r>
      <t xml:space="preserve">The weighted average is an average in which data points are "weighted" so that they contribute to the average in proportion to their frequency in the dataset.  For example, if you have 10 family households with an average LOS of 40 days, and 30 individual households with an average LOS of 20 days, the unweighted (arithematic) average would be (20 + 40) </t>
    </r>
    <r>
      <rPr>
        <sz val="11"/>
        <color indexed="8"/>
        <rFont val="Calibri"/>
        <family val="2"/>
      </rPr>
      <t>÷</t>
    </r>
    <r>
      <rPr>
        <sz val="11"/>
        <color indexed="8"/>
        <rFont val="Arial Narrow"/>
        <family val="2"/>
      </rPr>
      <t xml:space="preserve"> 2 = 30.  Conversely, a weighted average considers that there are many more individual households and "weights" their average LOS proportionally.  The mathematical equation for the weighted average in this example is  ((10 * 40) + (30 * 20)) </t>
    </r>
    <r>
      <rPr>
        <sz val="11"/>
        <color indexed="8"/>
        <rFont val="Calibri"/>
        <family val="2"/>
      </rPr>
      <t>÷</t>
    </r>
    <r>
      <rPr>
        <sz val="11"/>
        <color indexed="8"/>
        <rFont val="Arial Narrow"/>
        <family val="2"/>
      </rPr>
      <t xml:space="preserve"> 40 = 25.   The weighted average in this case is lower than the arithematic average, because there are many more individual households with a lower average LOS than there are family households with a higher average LOS.</t>
    </r>
  </si>
  <si>
    <t>The Calculator was designed to allow for use by a variety of communities with a variety of different homeless systems and configurations. So, it does not limit or control data input - it will allow the user to input the data that is the most correct and/or most available for the particular community.  If data quality is a concern, you may want to consider some of the recommendations included in the Data Input tab for estimating some of the requested data for your community.  For example, if you cannot produce returns to homelessness, you can either leave that portion of the Calculator blank and focus on the portions that analyze the data you do have, or you can apply the provided sample averages to your community's exit data as an estimator of the impact of returns in your community.</t>
  </si>
  <si>
    <t xml:space="preserve">A return to homelessness is defined: when a person or household that exited a homeless program to a permanent housing destination has a new entry into an emergency shelter, Safe Haven, transitional housing or rapid re-housing program within twelve months of their exit to permanent housing. Entries into non-residential programs in HMIS should not be counted.  </t>
  </si>
  <si>
    <t>Some individuals or households will enter and exit from more than one homeless program in HMIS in the window of time the Calculator is assessing.  The Calculator counts each exit from a residential program as a separate outcome.  For example, if a person moves from one shelter to another before moving to permanent housing, both exits will be counted in the "Total Annual Exits," though only the second one will count as an exit to permanent housing. If a household is assisted to move from shelter to permanent housing by a rapid rehousing program, and both the shelter and the rehousing program record that exit as an exit to permanent housing, then that exit will be counted twice and will contribute to both the shelter permanent housing exit rate and the rapid rehousing rate.</t>
  </si>
  <si>
    <t xml:space="preserve">Permanent Supportive Housing (PSH) is an important component of the homeless system of care and the Calculator (Tab 8) allows users to model reallocation or new investments in PSH to gain additional annual capacity. The Calculator considers the cost of each program type (including PSH) in limited terms – based on annual operating and service costs. Depending on the program model, developing new supportive housing may require a substantial amount of capital funding as well.
The Calculator focuses on maximizing the impact of the system in getting households into permanent housing. Exits to PSH are included in all the outcome analyses – any exit from another homeless program into PSH is counted as a permanent housing exit. Turnover from PSH, however, is not counted. For most purposes of the Calculator, PSH is treated like other permanent housing; once a household exits to permanent housing they are no longer included in the analysis unless they return to the homeless system within one year. 
Communities with deeply targeted and successful PSH may be interested in increasing turnover in PSH in order to serve more households. This is a good strategy for increasing access to affordable housing, and may create improvements in the exit rates of other parts of the system, as long as those leaving PSH do so for other permanent housing. This type of change is not currently modeled in the Calculator.
</t>
  </si>
  <si>
    <t>The number and associated rates of permanent housing exits that family households make impacts the cost efficiency of the investment into that program(s).  The more family households that exit to permanent housing, given the existing capacity and investment, the less the cost per each permanent housing exit.</t>
  </si>
  <si>
    <t>The number and associated rates of permanent housing exits that households make impacts the cost efficiency of the investment into that program(s).  The more households that exit to permanent housing, given the existing capacity and investment, the less the cost per each permanent housing exit.</t>
  </si>
  <si>
    <t>The table below shows the current investments in your community's homeless programs serving family households.  System performance is maximized by shifting investments to higher-performing and more cost-effective program types. (You may shift resources from one population to another.)</t>
  </si>
  <si>
    <t>The table below shows the current investments in your community's homeless programs.  System performance is maximized by shifting investments to higher-performing and more cost-effective program types. (You may shift resources from one population to another.)</t>
  </si>
  <si>
    <t>The grey boxes below show the current rate at which family households who exit to permanent housing return to homelessness. Decreasing the rate at which households return to homelessness after being permanently housed increases the rate of exits that stick and improves cost-effectiveness.</t>
  </si>
  <si>
    <t>The grey boxes below show the current rate at which households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</si>
  <si>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family households that exited to permanent housing, but returned to the homeless system within a year.  </t>
  </si>
  <si>
    <t xml:space="preserve">The Calculator defines the rate of return to homelessness as the percent of households that exited to permanent housing, but returned to the homeless system within a year.  </t>
  </si>
  <si>
    <t>The Calculator is set up in a "normal" page view, allowing the user to see the majority of each tab on his or her computer screen - this setup is to facilitate data entry.  For presenting the results:
∙     To project the Calculator onto a screen for presentation to a group, change the "View" to "Page Layout" and select "Full     Screen" as the Workbook View.  You may also wish to use Excel's "Zoom" function to zoom in or out on certain graphs.   
∙    For producing printed reports, the Calculator is set up to print all tabs on 8.5 x 11 paper, in the "portrait" orientation.  For a complete report, we recommend printing tabs 4 through 10.  Tabs 4 and 5 show the current system outcomes, 6 through 9 show the impacts on the system of each of the four singular changes and tab 10 shows the combined impact of all the previous changes. 
∙     Correct page numbers will print if you print each tab (instead of using the print setting for "entire workbook").</t>
  </si>
  <si>
    <t>4. The Calculator asks for data divided by programs that serve single adults and programs that serve families.  What if my community does not or cannot divide our data this way?</t>
  </si>
  <si>
    <t>The Calculator computes the impact of a community's program practices and investment strategy on moving people and households from homelessness to housing. The Calculator also shows how shifting program rules or practices and resource investments can maximize reductions to the current homeless population.</t>
  </si>
  <si>
    <r>
      <t xml:space="preserve">∙   Users can </t>
    </r>
    <r>
      <rPr>
        <u/>
        <sz val="11"/>
        <color indexed="8"/>
        <rFont val="Arial Narrow"/>
        <family val="2"/>
      </rPr>
      <t>only</t>
    </r>
    <r>
      <rPr>
        <sz val="11"/>
        <color indexed="8"/>
        <rFont val="Arial Narrow"/>
        <family val="2"/>
      </rPr>
      <t xml:space="preserve"> input into yellow shaded cells, which appear in two places:
    ∙    The yellow tab data input pages
    ∙    The blue and pink tabs, where changes to the various program components can be made
∙   Grey cells contain calculations and will automatically populate based on input in the yellow cells.  
∙   Each blue tab has question mark icons; the user can hover the cursor over the icon for input instructions for the page. 
∙   The orange Summary of Changes tab carries forward all changes input in the  blue tabs and shows the user the combined impact of all of the changes.  
∙   As an alternative to the Summary of Changes tab, if the user wishes to make changes to all components of the system at once and see the impacts, the pink tab called the Change All Calculator allows for this.</t>
    </r>
  </si>
  <si>
    <t xml:space="preserve">This capacity is the inventory of beds, units, and service slots of the programs that will be included in the analysis.  In some communities, system capacity may come from the community's Housing Inventory Chart (HIC).  For the Calculator to work best, the beds, units, and slots entered  should only be those from programs for which the community also has performance and investment data.  </t>
  </si>
  <si>
    <t>Data (typically from HMIS) on program usage.  This data should be on a household level (single adults and family households) and should include each program use for households who exited more than one program in the given timeframe.</t>
  </si>
  <si>
    <t>If you can only get budget information for some of the programs in your HMIS data set, the Calculator includes a worksheet (Tab 3) to help you estimate the costs for all beds and units, by program type, based on the information you have for similar programs.</t>
  </si>
  <si>
    <t>5. The Calculator asks for data on families at the "household" level.  How do you recommend we collect this?</t>
  </si>
  <si>
    <r>
      <t xml:space="preserve">(b) Determine the average household size for family households in your community. This can be calculated using various available sources:
          1. </t>
    </r>
    <r>
      <rPr>
        <u/>
        <sz val="11"/>
        <color indexed="8"/>
        <rFont val="Arial Narrow"/>
        <family val="2"/>
      </rPr>
      <t>Using the HMIS</t>
    </r>
    <r>
      <rPr>
        <sz val="11"/>
        <color indexed="8"/>
        <rFont val="Arial Narrow"/>
        <family val="2"/>
      </rPr>
      <t xml:space="preserve">:  # people in households with children ÷ # households with children 
          2. </t>
    </r>
    <r>
      <rPr>
        <u/>
        <sz val="11"/>
        <color indexed="8"/>
        <rFont val="Arial Narrow"/>
        <family val="2"/>
      </rPr>
      <t>Using the PIT</t>
    </r>
    <r>
      <rPr>
        <sz val="11"/>
        <color indexed="8"/>
        <rFont val="Arial Narrow"/>
        <family val="2"/>
      </rPr>
      <t xml:space="preserve">: # people in households with children </t>
    </r>
    <r>
      <rPr>
        <sz val="11"/>
        <color indexed="8"/>
        <rFont val="Calibri"/>
        <family val="2"/>
      </rPr>
      <t>÷</t>
    </r>
    <r>
      <rPr>
        <sz val="11"/>
        <color indexed="8"/>
        <rFont val="Arial Narrow"/>
        <family val="2"/>
      </rPr>
      <t xml:space="preserve"> # households with children
          3. </t>
    </r>
    <r>
      <rPr>
        <u/>
        <sz val="11"/>
        <color indexed="8"/>
        <rFont val="Arial Narrow"/>
        <family val="2"/>
      </rPr>
      <t>Using APRs</t>
    </r>
    <r>
      <rPr>
        <sz val="11"/>
        <color indexed="8"/>
        <rFont val="Arial Narrow"/>
        <family val="2"/>
      </rPr>
      <t xml:space="preserve">:  If using APRs, you will need both the most recent HPRP APR and APRs for all or most of
               the programs in the dataset.
</t>
    </r>
    <r>
      <rPr>
        <i/>
        <sz val="11"/>
        <color indexed="8"/>
        <rFont val="Arial Narrow"/>
        <family val="2"/>
      </rPr>
      <t xml:space="preserve">               </t>
    </r>
    <r>
      <rPr>
        <i/>
        <u/>
        <sz val="11"/>
        <color indexed="8"/>
        <rFont val="Arial Narrow"/>
        <family val="2"/>
      </rPr>
      <t>HPRP:</t>
    </r>
    <r>
      <rPr>
        <sz val="11"/>
        <color indexed="8"/>
        <rFont val="Arial Narrow"/>
        <family val="2"/>
      </rPr>
      <t xml:space="preserve">  # persons in HH with children (Q5) ÷ # HH with children (Q6) </t>
    </r>
    <r>
      <rPr>
        <i/>
        <u/>
        <sz val="11"/>
        <color indexed="8"/>
        <rFont val="Arial Narrow"/>
        <family val="2"/>
      </rPr>
      <t xml:space="preserve">
</t>
    </r>
    <r>
      <rPr>
        <i/>
        <sz val="11"/>
        <color indexed="8"/>
        <rFont val="Arial Narrow"/>
        <family val="2"/>
      </rPr>
      <t xml:space="preserve">              </t>
    </r>
    <r>
      <rPr>
        <i/>
        <u/>
        <sz val="11"/>
        <color indexed="8"/>
        <rFont val="Arial Narrow"/>
        <family val="2"/>
      </rPr>
      <t>Programs:</t>
    </r>
    <r>
      <rPr>
        <sz val="11"/>
        <color indexed="8"/>
        <rFont val="Arial Narrow"/>
        <family val="2"/>
      </rPr>
      <t xml:space="preserve">  # persons in HH with children (Q8) </t>
    </r>
    <r>
      <rPr>
        <sz val="11"/>
        <color indexed="8"/>
        <rFont val="Calibri"/>
        <family val="2"/>
      </rPr>
      <t>÷</t>
    </r>
    <r>
      <rPr>
        <sz val="11"/>
        <color indexed="8"/>
        <rFont val="Arial Narrow"/>
        <family val="2"/>
      </rPr>
      <t xml:space="preserve"> # HH with children (Q9).  This gives the average 
                                    household size per program.  Average these across the program type.
(Note that HPRP APRs do not differentiate HH counts (Q6) by prevention and rapid re-housing.  You will need to calculate the average for the entire program.)
          4. If no local average can be calculated, use the national average of three persons in a homeless
               household.  (From the NAEH/CSH October 2012 publication, "Ending Family Homelessness: 
               National Trends and Local System Responses")
</t>
    </r>
    <r>
      <rPr>
        <u/>
        <sz val="11"/>
        <color indexed="8"/>
        <rFont val="Arial Narrow"/>
        <family val="2"/>
      </rPr>
      <t>Before</t>
    </r>
    <r>
      <rPr>
        <sz val="11"/>
        <color indexed="8"/>
        <rFont val="Arial Narrow"/>
        <family val="2"/>
      </rPr>
      <t xml:space="preserve"> inputting data into Tab 2 of the Calculator, divide capacity and all of the exit numbers for programs serving families by the average family household size to estimate the capacity and number of exits by households.</t>
    </r>
  </si>
  <si>
    <r>
      <t xml:space="preserve">The Calculator comes with sample data entered. This set was created from information collected by the Alliance from communities that have previously prepared their Evaluator tool (link is on tab 2). The performance rates from each part of the system, including exits, permanent housing exits, returns to homelessness, and costs, were averaged from between seven and 12 communities across the country, depending on the data available. The number of beds and total money in the sample system represents a hypothetical moderate-sized system. This data is provided so that you can quickly and easily see the functionality of the Calculator.  </t>
    </r>
    <r>
      <rPr>
        <b/>
        <sz val="11"/>
        <color indexed="8"/>
        <rFont val="Arial Narrow"/>
        <family val="2"/>
      </rPr>
      <t xml:space="preserve">Be sure to completely remove all of the data in the yellow cells on Tab 2 prior to inputting your community's data.  </t>
    </r>
  </si>
  <si>
    <t>6. The capacity in our HIC is not an accurate reflection of the actual average capacity for our HPRP rapid re-housing programs.  Is there an alternative way to calculate HPRP capacity?</t>
  </si>
  <si>
    <t>7. In addition to single adults and famiilies with children, my community has distinctions for adult couple households, child only households and unaccompanied minors.  Which household type(s) should these households be placed in?</t>
  </si>
  <si>
    <t>8. What should the timeframe of the data be?</t>
  </si>
  <si>
    <t>9. Where did the sample data in the Calculator come from?</t>
  </si>
  <si>
    <t>10. What calculations does the Calculator perform automatically?</t>
  </si>
  <si>
    <t>11. What is a "weighted" average?</t>
  </si>
  <si>
    <t>12. Does the Calculator include any "controls" to limit or control data input?</t>
  </si>
  <si>
    <t>13. What acronyms does the Calculator use?</t>
  </si>
  <si>
    <t>14. Where should I enter data about a Safe Haven?</t>
  </si>
  <si>
    <t xml:space="preserve">15. How is a return to homelessness defined?  </t>
  </si>
  <si>
    <t>16. How are the outcomes of people with multiple program stays counted in the Calculator?</t>
  </si>
  <si>
    <t>17. I only see changes to permanent supportive housing in one tab, Tab 8: Change Investments.  Why is PSH not included in the other tabs?  How is (or isn’t) PSH impacted when changes are made to the homeless system?</t>
  </si>
  <si>
    <r>
      <rPr>
        <vertAlign val="superscript"/>
        <sz val="10"/>
        <color indexed="8"/>
        <rFont val="Arial Narrow"/>
        <family val="2"/>
      </rPr>
      <t>3</t>
    </r>
    <r>
      <rPr>
        <sz val="10"/>
        <color indexed="8"/>
        <rFont val="Arial Narrow"/>
        <family val="2"/>
      </rPr>
      <t xml:space="preserve"> Input the total number of exits for single adult individuals and for family households from the program type during the calendar year.  </t>
    </r>
  </si>
  <si>
    <r>
      <rPr>
        <vertAlign val="superscript"/>
        <sz val="10"/>
        <color indexed="8"/>
        <rFont val="Arial Narrow"/>
        <family val="2"/>
      </rPr>
      <t xml:space="preserve">4 </t>
    </r>
    <r>
      <rPr>
        <sz val="10"/>
        <color indexed="8"/>
        <rFont val="Arial Narrow"/>
        <family val="2"/>
      </rPr>
      <t>Input the total number of exits for single adult individuals and for family households from the program type during the calendar year to permanent housing destinations.  This number should be a subset of the "Total Annual Exits."  Permanent housing destinations are those destinations categorized by HUD in the Annual Performance Report (APR).  See page 47 of the HUD APR Guidebook (http://www.hudhre.info/documents/esnapsCoCAPRGuidebook.pdf) for detail on which HMIS answer choices are considered "permanent."</t>
    </r>
  </si>
  <si>
    <r>
      <rPr>
        <vertAlign val="superscript"/>
        <sz val="10"/>
        <color indexed="8"/>
        <rFont val="Arial Narrow"/>
        <family val="2"/>
      </rPr>
      <t>5</t>
    </r>
    <r>
      <rPr>
        <sz val="10"/>
        <color indexed="8"/>
        <rFont val="Arial Narrow"/>
        <family val="2"/>
      </rPr>
      <t xml:space="preserve"> Input the total number of single adults and family households who exited to permanent housing (from "Annual Exits to PH," above) that returned to another homeless program within 365 days/1 year.  This number should be a subset of the numbers in "Annual Exits to PH."  A return to homelessness is marked by a new entry in HMIS into an emergency shelter, Safe Haven, transitional housing or rapid re-housing program.  Entries into non-residential programs in HMIS should not be counted.  
If your community does not have data on returns to homelessness, you can either leave these cells blank and not use Tab 9 or you can use the average rates of returns from The Alliance's sample data.  Estimate the numbers of returns to homelessness in your system to arrive at the following system averages in rows 23 and 24: 
     ∙ Adult Only HH: ES (15%), TH (7%), RR (9%) 
     ∙ Family HH: ES (11%), TH (9%), RR (4%)
     </t>
    </r>
  </si>
  <si>
    <t>Single Adults</t>
  </si>
  <si>
    <t>Programs Serving Single Adults</t>
  </si>
  <si>
    <t>Total Units in Dataset</t>
  </si>
  <si>
    <r>
      <t xml:space="preserve">Total Units in </t>
    </r>
    <r>
      <rPr>
        <b/>
        <u/>
        <sz val="10"/>
        <color indexed="8"/>
        <rFont val="Arial Narrow"/>
        <family val="2"/>
      </rPr>
      <t>Programs for which budget data is available</t>
    </r>
  </si>
  <si>
    <t>SINGLE ADULTS</t>
  </si>
  <si>
    <t>The graphs below show the current average length of program stays and exits to permanent housing achieved by programs in the system serving single adults.</t>
  </si>
  <si>
    <t>How many nights single adults remain in homeless programs is directly related to the cost of serving those households (each night in a homeless program has an associated cost) and to the number of single adults that can be served in a given number of beds.</t>
  </si>
  <si>
    <t>The number and associated rates of permanent housing exits that single adults make impacts the cost efficiency of the investment into that program(s).  The more single adults that exit to permanent housing, given the existing capacity and investment, the less the cost per each permanent housing exit.</t>
  </si>
  <si>
    <t>The graphs below show the current investment in the single adults portion of the homeless system by program type and the average costs.</t>
  </si>
  <si>
    <t>The grey boxes below show the rate of permanent housing exits that your community is currently achieving.  Increasing the rate of exits to permanent housing in one or more program types will end homelessness for more single adults and increase cost-effectiveness.</t>
  </si>
  <si>
    <t>If a change is made to the rate at which single adults exit programs to permanent housing, the total number of permanent housing exits (shown in the red bars), will also change.</t>
  </si>
  <si>
    <t>The current average cost per permanent housing exit (shown in the green bars) is the total investment divided by the number of permanent housing exits for each program type.  As the rate of single adults exiting to permanent housing changes, the average cost for each exit to permanent housing (shown in the purple bars) also changes.</t>
  </si>
  <si>
    <t>How many nights single adults stay in homeless programs is directly related to the number of households that can be served in a year, and to the average cost of the service per household.  By shortening the average length of stay, more single adults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</si>
  <si>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family households can be served in the same programs for the same annual investment.</t>
  </si>
  <si>
    <t>How many nights single adults stay in homeless programs is directly related to the number of households that can be served in a year, and to the average cost of the service per household.  By shortening the average length of stay, more households can be served in the same programs for the same annual investment.</t>
  </si>
  <si>
    <t>The table below shows the current investments in your community's homeless programs serving single adults.  System performance is maximized by shifting investments to higher-performing and more cost-effective program types. (You may shift resources from one population to another.)</t>
  </si>
  <si>
    <t>When a change is made to investments in a program type(s), the number of single adults that can be served changes, and the number of exits to permanent housing (shown in the red bars) will change accordingly.</t>
  </si>
  <si>
    <t>The distribution of funds for single adults by program type, reflecting any changes in resource allocations made above.</t>
  </si>
  <si>
    <t>The grey boxes below show the current rate at which single adults who exit to permanent housing return to homelessness. Decreasing the rate at which households return to homelessness after being permanently housed increases the rate of exits that stick and improves cost-effectiveness.</t>
  </si>
  <si>
    <t xml:space="preserve">The Calculator defines the rate of return to homelessness as the percent of single adults that exited to permanent housing, but returned to the homeless system within a year.  </t>
  </si>
  <si>
    <t>The current number of single adults with permanent housing exits that "stick" (shown in the green bars) are those that exited to permanent housing and did not return to the homeless system within one year.  If a change is made in the rate of returns to homelessness, the number of permanent housing exits that "stick" will change conversely.</t>
  </si>
  <si>
    <t>11A. Change in Permanent Housing Exits
Single Adults</t>
  </si>
  <si>
    <t>9A. Change in Permanent Housing Exits
Single Adults</t>
  </si>
  <si>
    <t>6A. Change in Permanent Housing Exits
Single Adults</t>
  </si>
  <si>
    <t>14A. Rate of Return to Homelessness
Single Adults</t>
  </si>
  <si>
    <t>16A. Change in Permanent Housing Exits
Single Adults</t>
  </si>
  <si>
    <t>22A. Change in Permanent Housing Exits
Single Adults</t>
  </si>
  <si>
    <t>12A. Change in Permanent Supportive Housing Capacity
Single Adults</t>
  </si>
  <si>
    <t>10A. Change in Average Cost per Permanent Housing Exit
Single Adults</t>
  </si>
  <si>
    <t>7A. Change in Average Cost per Permanent Housing Exit
Single Adults</t>
  </si>
  <si>
    <t>15A. Permanent Housing Exits that "Stick"
Single Adults</t>
  </si>
  <si>
    <t>17A. Change in Average Cost per Permanent Housing Exit
Single Adults</t>
  </si>
  <si>
    <t>23A. Change in Average Cost per Permanent Housing Exit
Single Adults</t>
  </si>
  <si>
    <t>18A. Change in Perm. Supportive Housing Capacity
Single Adults</t>
  </si>
  <si>
    <t>26A. Change in Perm. Supportive Housing Capacity
Single Adults</t>
  </si>
  <si>
    <t>8A. Average LOS Single Adults</t>
  </si>
  <si>
    <t>19A. Rate of Return to Homelessness
Single Adults</t>
  </si>
  <si>
    <t>24A. Rate of Return to Homelessness
Single Adults</t>
  </si>
  <si>
    <t>20A. Change in Permanent Housing Exits that "Stick"
Single Adults</t>
  </si>
  <si>
    <t>25A. Change in Permanent Housing Exits that "Stick"
Single Adults</t>
  </si>
  <si>
    <r>
      <rPr>
        <vertAlign val="superscript"/>
        <sz val="10"/>
        <color indexed="8"/>
        <rFont val="Arial Narrow"/>
        <family val="2"/>
      </rPr>
      <t>1</t>
    </r>
    <r>
      <rPr>
        <sz val="10"/>
        <color indexed="8"/>
        <rFont val="Arial Narrow"/>
        <family val="2"/>
      </rPr>
      <t xml:space="preserve"> Input in the yellow cells the current total capacity for each program type that is reported in your community's HMIS.  The capacity will need to be input as bed capacity for single adults and as household capacity (units) for programs serving families.   Some communities may find that this information is easiest to obtain from the Housing Inventory Chart (HIC).  The HIC records both bed capacity and unit capacity for shelters, transitional housing, HPRP-RR and permanent supportive housing for households with children.  For programs serving single adults, use the bed capacity from the HIC; for programs serving family households, use the unit capacity from the HIC.
If you are not using HIC to gather the capacity figures, and the information being used counts beds but does not translate these beds into units, you will need to calculate average household size and apply that to the count of beds for persons in families.  FAQ #5 (Tab 1c) provides detail on approaches for calculating average household size.  Once you have the average family household sizes for each program type, divide the number of beds in each program by the appropriate average household size to get the average household capacity (units) by program type.  
Be sure to include only the bed or unit capacity that corresponds to the program performance dataset.  In most cases, the data pulled for program performance will be from at least one calendar year in the past. If bed/unit capacity has changed substantially recently (e.g. added or removed beds), it is very important to use the accurate capacity for the analysis timeframe. (See Tab 1c: FAQs for further guidance on pulling the dataset.)
</t>
    </r>
  </si>
  <si>
    <r>
      <t xml:space="preserve">Below are instructions to complete the Performance Improvement Calculator using data from the Alliance's Homeless System Evaluator.  If your community has not previously prepared an Evaluator, use the instructions to the right of the table above to complete the Calculator.
The Homeless System Evaluator is also an Excel-based tool developed and distributed by the Alliance. The Evaluator uses AHAR, PIT and HMIS or APR-derived data to present information about a community's current level of need, performance on key HEARTH goals and on costs per outcome. The Evaluator is typically completed by Continuums preparing for the Alliance's Performance Improvement Clinics, but it is available to any community or agency that would like to use it.  The Evaluator can be found at: http://www.endhomelessness.org/library/entry/homeless-system-evaluator-tool.  
</t>
    </r>
    <r>
      <rPr>
        <b/>
        <sz val="10"/>
        <color indexed="8"/>
        <rFont val="Arial Narrow"/>
        <family val="2"/>
      </rPr>
      <t xml:space="preserve">
PROGRAM INPUT TABLE INSTRUCTIONS FOR EVALUATOR USERS:</t>
    </r>
    <r>
      <rPr>
        <sz val="10"/>
        <color indexed="8"/>
        <rFont val="Arial Narrow"/>
        <family val="2"/>
      </rPr>
      <t xml:space="preserve">
If your community has previously prepared the Alliance’s Evaluator tool you can use the data from that tool to prepare the Calculator. All of the information can be found on Evaluator Tab 8: Formulas.
</t>
    </r>
    <r>
      <rPr>
        <i/>
        <sz val="10"/>
        <color indexed="8"/>
        <rFont val="Arial Narrow"/>
        <family val="2"/>
      </rPr>
      <t>Note: If your community previously prepared the Alliance’s Evaluator tool using individual/person level data, you will need to adjust this data to reflect household outcomes and units on the family side before transferring to the Calculator. To do this, you will need to calculate an average family household size for each program type. Details on calculating average family size can be found in FAQ #5 (Tab 1C).  The unit capacity and exit data should first be divided by the average household size for family households;  these adjusted numbers can then be input in the PIC, following the detail below.</t>
    </r>
    <r>
      <rPr>
        <sz val="10"/>
        <color indexed="8"/>
        <rFont val="Arial Narrow"/>
        <family val="2"/>
      </rPr>
      <t xml:space="preserve">
1. To enter Annual Bed Capacity, pull the corresponding information from Column E of the Formulas Tab. For single adults (singles) you will need to enter the data in cells E3 (Shelter), E4 (Transitional Housing), E5 (Rapid Rehousing) and E7 (Permanent Supportive Housing). For family households you will enter the data in cells E9, E10, E11 and E13 (or this data divided by average family size if the Evaluator was prepared with individual level data).
2. To enter Annual Investments, pull the corresponding information from Column D of the Formulas Tab. For single adult households (singles) you will need to enter the data in cells D3, D4, D5 and D7. For family households you will enter the data in cells D9, D10, D11 and D13.
3. To enter Annual Exits to all destinations, pull the corresponding information from Column G of the Formulas Tab. For single adults (singles) you will need to enter the data in cells G3, G4, and G5. For family households you will enter the data in cells G9, G10, and G11 (or this data divided by average family size if the Evaluator was prepared with individual level data.)
4. To enter Annual Exits to Permanent Housing Destinations, pull the corresponding information from Column I of the Formulas Tab. For single adults (singles) you will need to enter the data in cells I3, I4, and I5. For family households you will enter the data in cells I9, I10, and I11 , (or this data divided by average family size if  Evaluator was prepared with individual level data.)
The percentage rate of exits to permanent housing of all exits from shelter, transitional housing and rapid rehousing will calculate automatically in the Calculator. You can compare to the rate in the Evaluator to ensure the data is entered correctly.
5. If information is available, to enter Returns to Homelessness pull the corresponding data from the table on the formulas tab called “Rate of Return” which begins at row 66.  For single adults, you will need to enter the data in cells C66 (Shelter), C70 (Transitional Housing), and C74 (Rapid Rehousing).  For family households you will enter the data in cells C67, C71 and C75 (or this data divided by average family size if the Evaluator was prepared with individual level data).
The percentage rate of returns to homelessness after permanent housing will calculate automatically.
</t>
    </r>
  </si>
  <si>
    <t xml:space="preserve">Typically, the System Performance data will be coming from programs in the Homeless Management Information System (HMIS).  Therefore, this set of programs is recommended as the starting point for gathering and using bed/unit capacity and investment data.  In the instructions on the "Program Input" tab, there are suggestions for compiling the investment figures to best align with the HMIS data available.  If your community has additional performance and investment data on programs outside of HMIS, those can be manually added to the data drawn from HMIS. Communities that have previously completed the Alliance's Homeless System Evaluator will have the data necessary to complete the Calculator. </t>
  </si>
  <si>
    <r>
      <t xml:space="preserve">The Calculator shows outcomes for programs that serve single adults only, for programs that serve families, and the whole system combined.  If you do not have information for your programs divided in this way, simply use the single adult entry point.  If you do this, you will need to enter the data at the </t>
    </r>
    <r>
      <rPr>
        <u/>
        <sz val="11"/>
        <color indexed="8"/>
        <rFont val="Arial Narrow"/>
        <family val="2"/>
      </rPr>
      <t>individual</t>
    </r>
    <r>
      <rPr>
        <sz val="11"/>
        <color indexed="8"/>
        <rFont val="Arial Narrow"/>
        <family val="2"/>
      </rPr>
      <t xml:space="preserve"> level, even for persons in family households.  The "All Households" graphs will still function, showing the results for all people in the system.  Note that in this case, all results including costs per exit will be per individual served, even for people within family households.</t>
    </r>
  </si>
  <si>
    <t>Most HMIS collect data at the individual level, including each person in a family.  However, the solutions to homelessness are at the household level (families move into one home together).  This difference is a mismatch between how HMIS collects data and how communities think about investing resources.  To create useful information about performance and costs, the Calculator is set up to accept data on outcomes for single adult households and family households.  There are different approaches to working with HMIS data to report at the household level:</t>
  </si>
  <si>
    <t>(c) If you cannot produce data at the household level, or if your community wishes to show outcomes for individual people, contact Katharine Gale with Focus Strategies at katharine@focusstrategies.net.  She can provide a modified version of the Calculator, labeled and aligned for data at the individual level.</t>
  </si>
  <si>
    <t>For rapid re-housing programs that don't have fixed "beds," an alternative (and perhaps more accurate) approach to using HIC capacity is to calculate the average capacity over the most recent year.  To do this, add the total lengths of stay (exit date minus entry date) for all single adults served within the year and all persons in family households served within the year and divide both totals by 365.  This will give you the average number of "beds" at any given point in the year. For HPRP programs serving families, this number will need to be divided the average household size of families in HPRP.  FAQ #5 above provides recommendations for calculating the average household size that can be used to complete this calculation.</t>
  </si>
  <si>
    <t>The distinction between single adult households and family households is more a reflection of the typical organization of the services than on the exact composition of the households served.  In general, programs that serve adult individuals and households without children are different than programs that serve households with children.  Therefore, Focus Strategies recommends that households consisting of only adults, including couples, adult children living with their parents, etc. be classified as "Single Adults".  Similarly, Focus recommends that unaccompanied minors be categorized as "Single Adults", as they typically use the programs/services intended for adults, not those intended for families.  Given that most child only households (those with a minor head of household and her small child, for example) include multiple generations, Focus recommends they be classified as "Family" households.</t>
  </si>
  <si>
    <t xml:space="preserve">There are three different types of data that are used in the Calculator: data on the system's capacity, performance and investments.  Each type of data may come from different sources; it is important that the data used reflect the same timeframe as much as possible.  Because the Calculator includes information on people returning to homelessness within a year of exiting a homeless program for permanent housing, the data used must be associated with client stays that have exited the program(s) and whose exit is at least a year ago.  Focus Strategies recommends selecting the dataset of all program exits between 24 and 12 months prior to the current date to populate the Calculator, and the returns to homelessness for the following 12 month period.  For example, if you are using the Calculator in October of 2012, you may want to use the dataset of exits from September 1, 2010 through October 1, 2011.  However, if your community's only Rapid Re-Housing programs were funded with HPRP and those programs were not active during this timeframe, you should consider selecting either a 12 month period during which HPRP was active OR including two years worth of data in your analysis, to be sure to have data that shows the outputs of Rapid Re-Housing efforts. </t>
  </si>
  <si>
    <t>18. How can I best use the Calculator to present the results?</t>
  </si>
  <si>
    <t xml:space="preserve">Calculator users can experiment with system-level changes in performance or investments, and see how much impact a proposed change has on the rate of permanent housing exits and average costs. With the Calculator, users can: 
     ∙ change average permanent housing placement rates for different kinds of programs,
     ∙ change the average length of program stays,
     ∙ change the rate at which people return to the homeless system after being housed, and
     ∙ move funding from one type of intervention to another.
The Calculator is designed to allow users to see the impact of these changes independently or together.  The Calculator illustrates how changes to program rules and practices and investments can maximize the number of households housed with existing resources.  
This tool is designed to model key strategies for change within most homeless systems based on the primary HEARTH performance measures.  Specific community circumstances and atypical programs cannot be reflected in the model.  To make investment decisions, communities may need to look at the specific dynamics of their programs and investments to see where change is most feasible.  The Calculator, however, can point to promising approaches and the anticipated impact of different stratgies.
For more information on the Performance Improvement Calculator, please contact Anna Blasco at the National Alliance to End Homelessness: ablasco@naeh.org or Megan Kurteff Schatz of Focus Strategies: megan@focusstrategies.net 
</t>
  </si>
  <si>
    <t>Be sure that calculations are set to "automatic".  This is controlled on the "formulas" tab, under "calculation options".</t>
  </si>
  <si>
    <t>Version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</si>
</sst>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3" formatCode="_(* #,##0.00_);_(* \(#,##0.00\);_(* &quot;-&quot;??_);_(@_)"/>
    <numFmt numFmtId="164" formatCode="&quot;$&quot;#,##0"/>
    <numFmt numFmtId="165" formatCode="&quot;$&quot;#,##0.00"/>
    <numFmt numFmtId="166" formatCode="#,##0&quot; &quot;;\(#,##0\)"/>
    <numFmt numFmtId="167" formatCode="0.000000%"/>
    <numFmt numFmtId="168" formatCode="0.00000000%"/>
    <numFmt numFmtId="169" formatCode="[$-409]mmmm\ d\,\ yyyy;@"/>
  </numFmts>
  <fonts count="71" x14ac:knownFonts="1">
    <font>
      <sz val="12"/>
      <color indexed="8"/>
      <name val="Verdana"/>
    </font>
    <font>
      <sz val="11"/>
      <color theme="1"/>
      <name val="Calibri"/>
      <family val="2"/>
      <scheme val="minor"/>
    </font>
    <font>
      <sz val="11"/>
      <color theme="1"/>
      <name val="Calibri"/>
      <family val="2"/>
      <scheme val="minor"/>
    </font>
    <font>
      <sz val="10"/>
      <color indexed="8"/>
      <name val="Helvetica"/>
    </font>
    <font>
      <sz val="11"/>
      <color indexed="11"/>
      <name val="Helvetica"/>
    </font>
    <font>
      <sz val="10"/>
      <color indexed="8"/>
      <name val="Arial Narrow"/>
      <family val="2"/>
    </font>
    <font>
      <sz val="12"/>
      <color indexed="8"/>
      <name val="Verdana"/>
      <family val="2"/>
    </font>
    <font>
      <sz val="10"/>
      <color indexed="11"/>
      <name val="Arial Narrow"/>
      <family val="2"/>
    </font>
    <font>
      <b/>
      <sz val="10"/>
      <color theme="0"/>
      <name val="Arial Narrow"/>
      <family val="2"/>
    </font>
    <font>
      <b/>
      <sz val="10"/>
      <color indexed="8"/>
      <name val="Arial Narrow"/>
      <family val="2"/>
    </font>
    <font>
      <sz val="10"/>
      <color theme="0"/>
      <name val="Arial Narrow"/>
      <family val="2"/>
    </font>
    <font>
      <b/>
      <sz val="10"/>
      <color indexed="11"/>
      <name val="Arial Narrow"/>
      <family val="2"/>
    </font>
    <font>
      <b/>
      <sz val="10"/>
      <color indexed="14"/>
      <name val="Arial Narrow"/>
      <family val="2"/>
    </font>
    <font>
      <sz val="10"/>
      <color theme="1"/>
      <name val="Arial Narrow"/>
      <family val="2"/>
    </font>
    <font>
      <sz val="11"/>
      <color theme="1"/>
      <name val="Helvetica"/>
    </font>
    <font>
      <b/>
      <sz val="12"/>
      <color indexed="8"/>
      <name val="Arial Narrow"/>
      <family val="2"/>
    </font>
    <font>
      <b/>
      <sz val="10"/>
      <color theme="1"/>
      <name val="Arial Narrow"/>
      <family val="2"/>
    </font>
    <font>
      <sz val="10"/>
      <name val="Arial Narrow"/>
      <family val="2"/>
    </font>
    <font>
      <vertAlign val="superscript"/>
      <sz val="10"/>
      <color indexed="8"/>
      <name val="Arial Narrow"/>
      <family val="2"/>
    </font>
    <font>
      <b/>
      <vertAlign val="superscript"/>
      <sz val="10"/>
      <color theme="0"/>
      <name val="Arial Narrow"/>
      <family val="2"/>
    </font>
    <font>
      <b/>
      <sz val="14"/>
      <color rgb="FFFF0000"/>
      <name val="Arial Narrow"/>
      <family val="2"/>
    </font>
    <font>
      <sz val="11"/>
      <color indexed="11"/>
      <name val="Calibri"/>
      <family val="2"/>
      <scheme val="minor"/>
    </font>
    <font>
      <sz val="12"/>
      <color indexed="8"/>
      <name val="Calibri"/>
      <family val="2"/>
      <scheme val="minor"/>
    </font>
    <font>
      <b/>
      <sz val="11"/>
      <color indexed="11"/>
      <name val="Calibri"/>
      <family val="2"/>
      <scheme val="minor"/>
    </font>
    <font>
      <b/>
      <sz val="12"/>
      <color indexed="11"/>
      <name val="Calibri"/>
      <family val="2"/>
      <scheme val="minor"/>
    </font>
    <font>
      <sz val="12"/>
      <color theme="1"/>
      <name val="Calibri"/>
      <family val="2"/>
      <scheme val="minor"/>
    </font>
    <font>
      <sz val="11"/>
      <color indexed="8"/>
      <name val="Calibri"/>
      <family val="2"/>
      <scheme val="minor"/>
    </font>
    <font>
      <sz val="10"/>
      <color theme="1"/>
      <name val="Calibri"/>
      <family val="2"/>
      <scheme val="minor"/>
    </font>
    <font>
      <b/>
      <i/>
      <sz val="11"/>
      <color rgb="FFFF0000"/>
      <name val="Calibri"/>
      <family val="2"/>
      <scheme val="minor"/>
    </font>
    <font>
      <b/>
      <i/>
      <sz val="11"/>
      <color theme="1"/>
      <name val="Calibri"/>
      <family val="2"/>
      <scheme val="minor"/>
    </font>
    <font>
      <b/>
      <sz val="11"/>
      <color indexed="27"/>
      <name val="Calibri"/>
      <family val="2"/>
      <scheme val="minor"/>
    </font>
    <font>
      <b/>
      <sz val="12"/>
      <color indexed="8"/>
      <name val="Calibri"/>
      <family val="2"/>
      <scheme val="minor"/>
    </font>
    <font>
      <sz val="12"/>
      <color indexed="8"/>
      <name val="Arial Narrow"/>
      <family val="2"/>
    </font>
    <font>
      <sz val="12"/>
      <color indexed="11"/>
      <name val="Calibri"/>
      <family val="2"/>
      <scheme val="minor"/>
    </font>
    <font>
      <i/>
      <sz val="12"/>
      <color indexed="8"/>
      <name val="Arial Narrow"/>
      <family val="2"/>
    </font>
    <font>
      <b/>
      <i/>
      <sz val="14"/>
      <color rgb="FFFF0000"/>
      <name val="Arial Narrow"/>
      <family val="2"/>
    </font>
    <font>
      <b/>
      <sz val="14"/>
      <color indexed="11"/>
      <name val="Calibri"/>
      <family val="2"/>
      <scheme val="minor"/>
    </font>
    <font>
      <b/>
      <i/>
      <sz val="10"/>
      <color rgb="FFFF0000"/>
      <name val="Arial Narrow"/>
      <family val="2"/>
    </font>
    <font>
      <sz val="12"/>
      <color indexed="11"/>
      <name val="Arial Narrow"/>
      <family val="2"/>
    </font>
    <font>
      <b/>
      <sz val="14"/>
      <color indexed="11"/>
      <name val="Arial Narrow"/>
      <family val="2"/>
    </font>
    <font>
      <sz val="12"/>
      <color theme="1"/>
      <name val="Arial Narrow"/>
      <family val="2"/>
    </font>
    <font>
      <sz val="11"/>
      <color indexed="8"/>
      <name val="Arial Narrow"/>
      <family val="2"/>
    </font>
    <font>
      <sz val="11"/>
      <color rgb="FFFF0000"/>
      <name val="Arial Narrow"/>
      <family val="2"/>
    </font>
    <font>
      <b/>
      <i/>
      <sz val="11"/>
      <color indexed="8"/>
      <name val="Arial Narrow"/>
      <family val="2"/>
    </font>
    <font>
      <u/>
      <sz val="11"/>
      <color indexed="8"/>
      <name val="Arial Narrow"/>
      <family val="2"/>
    </font>
    <font>
      <b/>
      <sz val="11"/>
      <color indexed="8"/>
      <name val="Arial Narrow"/>
      <family val="2"/>
    </font>
    <font>
      <sz val="11"/>
      <name val="Arial Narrow"/>
      <family val="2"/>
    </font>
    <font>
      <u/>
      <sz val="12"/>
      <color theme="10"/>
      <name val="Verdana"/>
      <family val="2"/>
    </font>
    <font>
      <b/>
      <u/>
      <sz val="10"/>
      <color indexed="8"/>
      <name val="Arial Narrow"/>
      <family val="2"/>
    </font>
    <font>
      <b/>
      <i/>
      <sz val="12"/>
      <color indexed="8"/>
      <name val="Arial Narrow"/>
      <family val="2"/>
    </font>
    <font>
      <i/>
      <sz val="12"/>
      <color theme="1" tint="0.499984740745262"/>
      <name val="Arial Narrow"/>
      <family val="2"/>
    </font>
    <font>
      <i/>
      <sz val="9"/>
      <color indexed="8"/>
      <name val="Calibri"/>
      <family val="2"/>
    </font>
    <font>
      <b/>
      <sz val="28"/>
      <color rgb="FFFF0000"/>
      <name val="Calibri"/>
      <family val="2"/>
      <scheme val="minor"/>
    </font>
    <font>
      <b/>
      <sz val="28"/>
      <color rgb="FFFF0000"/>
      <name val="Verdana"/>
      <family val="2"/>
    </font>
    <font>
      <b/>
      <i/>
      <sz val="10"/>
      <color indexed="8"/>
      <name val="Arial Narrow"/>
      <family val="2"/>
    </font>
    <font>
      <b/>
      <i/>
      <sz val="16"/>
      <color rgb="FFFF0000"/>
      <name val="Arial Narrow"/>
      <family val="2"/>
    </font>
    <font>
      <b/>
      <i/>
      <sz val="12"/>
      <color rgb="FFFF0000"/>
      <name val="Arial Narrow"/>
      <family val="2"/>
    </font>
    <font>
      <sz val="9"/>
      <color indexed="81"/>
      <name val="Tahoma"/>
      <family val="2"/>
    </font>
    <font>
      <b/>
      <sz val="9"/>
      <color indexed="81"/>
      <name val="Tahoma"/>
      <family val="2"/>
    </font>
    <font>
      <b/>
      <sz val="10"/>
      <name val="Arial Narrow"/>
      <family val="2"/>
    </font>
    <font>
      <b/>
      <sz val="10"/>
      <color indexed="81"/>
      <name val="Tahoma"/>
      <family val="2"/>
    </font>
    <font>
      <i/>
      <sz val="11"/>
      <color indexed="8"/>
      <name val="Arial Narrow"/>
      <family val="2"/>
    </font>
    <font>
      <sz val="11"/>
      <color indexed="8"/>
      <name val="Calibri"/>
      <family val="2"/>
    </font>
    <font>
      <i/>
      <sz val="11"/>
      <color indexed="8"/>
      <name val="Calibri"/>
      <family val="2"/>
    </font>
    <font>
      <i/>
      <sz val="12"/>
      <color theme="1" tint="0.34998626667073579"/>
      <name val="Arial Narrow"/>
      <family val="2"/>
    </font>
    <font>
      <b/>
      <i/>
      <sz val="12"/>
      <color theme="1" tint="0.34998626667073579"/>
      <name val="Arial Narrow"/>
      <family val="2"/>
    </font>
    <font>
      <sz val="12"/>
      <color theme="1" tint="0.34998626667073579"/>
      <name val="Arial Narrow"/>
      <family val="2"/>
    </font>
    <font>
      <i/>
      <u/>
      <sz val="11"/>
      <color indexed="8"/>
      <name val="Arial Narrow"/>
      <family val="2"/>
    </font>
    <font>
      <i/>
      <sz val="10"/>
      <color indexed="8"/>
      <name val="Arial Narrow"/>
      <family val="2"/>
    </font>
    <font>
      <i/>
      <sz val="11"/>
      <color theme="1" tint="0.14999847407452621"/>
      <name val="Arial Narrow"/>
      <family val="2"/>
    </font>
    <font>
      <i/>
      <sz val="12"/>
      <color theme="1" tint="0.14999847407452621"/>
      <name val="Verdana"/>
      <family val="2"/>
    </font>
  </fonts>
  <fills count="19">
    <fill>
      <patternFill patternType="none"/>
    </fill>
    <fill>
      <patternFill patternType="gray125"/>
    </fill>
    <fill>
      <patternFill patternType="solid">
        <fgColor indexed="2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B050"/>
        <bgColor indexed="64"/>
      </patternFill>
    </fill>
    <fill>
      <patternFill patternType="solid">
        <fgColor rgb="FF7030A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66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ck">
        <color rgb="FF00B050"/>
      </top>
      <bottom style="hair">
        <color indexed="64"/>
      </bottom>
      <diagonal/>
    </border>
    <border>
      <left/>
      <right style="thick">
        <color rgb="FF00B050"/>
      </right>
      <top style="thick">
        <color rgb="FF00B050"/>
      </top>
      <bottom style="hair">
        <color indexed="64"/>
      </bottom>
      <diagonal/>
    </border>
    <border>
      <left/>
      <right style="thick">
        <color rgb="FF00B050"/>
      </right>
      <top style="hair">
        <color indexed="64"/>
      </top>
      <bottom style="hair">
        <color indexed="64"/>
      </bottom>
      <diagonal/>
    </border>
    <border>
      <left/>
      <right/>
      <top style="hair">
        <color indexed="64"/>
      </top>
      <bottom style="thick">
        <color rgb="FF00B050"/>
      </bottom>
      <diagonal/>
    </border>
    <border>
      <left/>
      <right style="thick">
        <color rgb="FF00B050"/>
      </right>
      <top style="hair">
        <color indexed="64"/>
      </top>
      <bottom style="thick">
        <color rgb="FF00B050"/>
      </bottom>
      <diagonal/>
    </border>
    <border>
      <left/>
      <right/>
      <top style="thick">
        <color rgb="FF00B050"/>
      </top>
      <bottom/>
      <diagonal/>
    </border>
    <border>
      <left/>
      <right/>
      <top/>
      <bottom style="thick">
        <color rgb="FF00B050"/>
      </bottom>
      <diagonal/>
    </border>
    <border>
      <left/>
      <right/>
      <top style="thick">
        <color rgb="FFFFFF00"/>
      </top>
      <bottom/>
      <diagonal/>
    </border>
    <border>
      <left/>
      <right/>
      <top style="thick">
        <color rgb="FFFFFF00"/>
      </top>
      <bottom style="hair">
        <color indexed="64"/>
      </bottom>
      <diagonal/>
    </border>
    <border>
      <left/>
      <right/>
      <top/>
      <bottom style="thick">
        <color rgb="FFFFFF00"/>
      </bottom>
      <diagonal/>
    </border>
    <border>
      <left/>
      <right/>
      <top style="hair">
        <color indexed="64"/>
      </top>
      <bottom style="thick">
        <color rgb="FFFFFF00"/>
      </bottom>
      <diagonal/>
    </border>
    <border>
      <left/>
      <right/>
      <top style="thick">
        <color rgb="FF7030A0"/>
      </top>
      <bottom/>
      <diagonal/>
    </border>
    <border>
      <left/>
      <right/>
      <top style="thick">
        <color rgb="FF7030A0"/>
      </top>
      <bottom style="hair">
        <color indexed="64"/>
      </bottom>
      <diagonal/>
    </border>
    <border>
      <left/>
      <right/>
      <top/>
      <bottom style="thick">
        <color rgb="FF7030A0"/>
      </bottom>
      <diagonal/>
    </border>
    <border>
      <left/>
      <right/>
      <top style="hair">
        <color indexed="64"/>
      </top>
      <bottom style="thick">
        <color rgb="FF7030A0"/>
      </bottom>
      <diagonal/>
    </border>
    <border>
      <left/>
      <right/>
      <top style="thick">
        <color rgb="FF00B0F0"/>
      </top>
      <bottom/>
      <diagonal/>
    </border>
    <border>
      <left/>
      <right/>
      <top style="thick">
        <color rgb="FF00B0F0"/>
      </top>
      <bottom style="hair">
        <color indexed="64"/>
      </bottom>
      <diagonal/>
    </border>
    <border>
      <left/>
      <right/>
      <top/>
      <bottom style="thick">
        <color rgb="FF00B0F0"/>
      </bottom>
      <diagonal/>
    </border>
    <border>
      <left/>
      <right/>
      <top style="hair">
        <color indexed="64"/>
      </top>
      <bottom style="thick">
        <color rgb="FF00B0F0"/>
      </bottom>
      <diagonal/>
    </border>
    <border>
      <left/>
      <right/>
      <top style="thick">
        <color rgb="FFFFC000"/>
      </top>
      <bottom style="thick">
        <color rgb="FFFFC000"/>
      </bottom>
      <diagonal/>
    </border>
    <border>
      <left/>
      <right/>
      <top style="thick">
        <color rgb="FFFF66FF"/>
      </top>
      <bottom style="thick">
        <color rgb="FFFF66FF"/>
      </bottom>
      <diagonal/>
    </border>
    <border>
      <left/>
      <right/>
      <top style="thick">
        <color rgb="FFFF66FF"/>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s>
  <cellStyleXfs count="5">
    <xf numFmtId="0" fontId="0" fillId="0" borderId="0" applyNumberFormat="0" applyFill="0" applyBorder="0" applyProtection="0">
      <alignment vertical="top"/>
    </xf>
    <xf numFmtId="43"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Protection="0">
      <alignment vertical="top"/>
    </xf>
    <xf numFmtId="0" fontId="47" fillId="0" borderId="0" applyNumberFormat="0" applyFill="0" applyBorder="0" applyAlignment="0" applyProtection="0">
      <alignment vertical="top"/>
      <protection locked="0"/>
    </xf>
  </cellStyleXfs>
  <cellXfs count="522">
    <xf numFmtId="0" fontId="0" fillId="0" borderId="0" xfId="0" applyAlignment="1"/>
    <xf numFmtId="0" fontId="5" fillId="0" borderId="0" xfId="0" applyFont="1" applyAlignment="1"/>
    <xf numFmtId="0" fontId="0" fillId="0" borderId="0" xfId="0" applyBorder="1" applyAlignment="1"/>
    <xf numFmtId="0" fontId="4" fillId="0" borderId="0" xfId="0" applyNumberFormat="1" applyFont="1" applyBorder="1" applyAlignment="1"/>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1" fontId="7" fillId="0" borderId="0" xfId="0" applyNumberFormat="1" applyFont="1" applyBorder="1" applyAlignment="1"/>
    <xf numFmtId="16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9" fillId="7" borderId="1"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0" xfId="0" applyNumberFormat="1" applyFont="1" applyBorder="1" applyAlignment="1"/>
    <xf numFmtId="0" fontId="13" fillId="0" borderId="0" xfId="0" applyNumberFormat="1" applyFont="1" applyFill="1" applyBorder="1" applyAlignment="1"/>
    <xf numFmtId="0" fontId="5" fillId="0" borderId="0" xfId="0" applyFont="1" applyAlignment="1">
      <alignment horizontal="center" vertical="center"/>
    </xf>
    <xf numFmtId="0" fontId="5" fillId="0" borderId="0" xfId="0" applyFont="1" applyAlignment="1">
      <alignment vertical="center"/>
    </xf>
    <xf numFmtId="0" fontId="5" fillId="4" borderId="1" xfId="0" applyFont="1" applyFill="1" applyBorder="1" applyAlignment="1">
      <alignment horizontal="center" vertical="center"/>
    </xf>
    <xf numFmtId="3" fontId="5" fillId="0" borderId="0" xfId="0" applyNumberFormat="1" applyFont="1" applyAlignment="1"/>
    <xf numFmtId="0" fontId="9" fillId="10" borderId="1" xfId="0" applyFont="1" applyFill="1" applyBorder="1" applyAlignment="1">
      <alignment horizontal="center" vertical="center"/>
    </xf>
    <xf numFmtId="0" fontId="7" fillId="0" borderId="0" xfId="0" applyFont="1" applyBorder="1" applyAlignment="1">
      <alignment vertical="center"/>
    </xf>
    <xf numFmtId="1"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7" fillId="0" borderId="0" xfId="0" applyNumberFormat="1" applyFont="1" applyBorder="1" applyAlignment="1">
      <alignment vertical="center"/>
    </xf>
    <xf numFmtId="0" fontId="0" fillId="0" borderId="0" xfId="0" applyAlignment="1">
      <alignment vertical="center"/>
    </xf>
    <xf numFmtId="0" fontId="20" fillId="0" borderId="0" xfId="0" applyFont="1" applyAlignment="1">
      <alignment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11" fillId="5" borderId="10" xfId="0" applyNumberFormat="1" applyFont="1" applyFill="1" applyBorder="1" applyAlignment="1">
      <alignment vertical="center"/>
    </xf>
    <xf numFmtId="164"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5" fillId="0" borderId="0" xfId="0" applyFont="1" applyAlignment="1">
      <alignment horizontal="center" vertical="center"/>
    </xf>
    <xf numFmtId="0" fontId="16" fillId="5" borderId="5" xfId="0" applyNumberFormat="1" applyFont="1" applyFill="1" applyBorder="1" applyAlignment="1">
      <alignment vertical="center"/>
    </xf>
    <xf numFmtId="0" fontId="16" fillId="5" borderId="5" xfId="0" applyFont="1" applyFill="1" applyBorder="1" applyAlignment="1">
      <alignment vertical="center"/>
    </xf>
    <xf numFmtId="0" fontId="16" fillId="9"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0" fontId="15" fillId="0" borderId="0" xfId="0" applyFont="1" applyAlignment="1">
      <alignment vertical="center"/>
    </xf>
    <xf numFmtId="0" fontId="11" fillId="7"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xf>
    <xf numFmtId="37" fontId="13"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11" fillId="1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11" fillId="12" borderId="1" xfId="0" applyNumberFormat="1" applyFont="1" applyFill="1" applyBorder="1" applyAlignment="1">
      <alignment horizontal="center" vertical="center"/>
    </xf>
    <xf numFmtId="0" fontId="11" fillId="5" borderId="1" xfId="0" applyNumberFormat="1" applyFont="1" applyFill="1" applyBorder="1" applyAlignment="1"/>
    <xf numFmtId="3" fontId="7" fillId="4" borderId="1" xfId="0" applyNumberFormat="1" applyFont="1" applyFill="1" applyBorder="1" applyAlignment="1">
      <alignment horizontal="center"/>
    </xf>
    <xf numFmtId="164" fontId="7" fillId="4" borderId="1" xfId="0" applyNumberFormat="1" applyFont="1" applyFill="1" applyBorder="1" applyAlignment="1">
      <alignment horizontal="center"/>
    </xf>
    <xf numFmtId="0" fontId="11" fillId="10" borderId="9" xfId="0" applyNumberFormat="1" applyFont="1" applyFill="1" applyBorder="1" applyAlignment="1">
      <alignment horizontal="center" vertical="center" wrapText="1"/>
    </xf>
    <xf numFmtId="0" fontId="9" fillId="10" borderId="9" xfId="0" applyFont="1" applyFill="1" applyBorder="1" applyAlignment="1">
      <alignment horizontal="center" vertical="center"/>
    </xf>
    <xf numFmtId="3" fontId="5" fillId="4"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9" fontId="5" fillId="8" borderId="1" xfId="2" applyFont="1" applyFill="1" applyBorder="1" applyAlignment="1">
      <alignment horizontal="center" vertical="center"/>
    </xf>
    <xf numFmtId="0" fontId="21" fillId="0" borderId="0" xfId="0" applyFont="1" applyBorder="1" applyAlignment="1"/>
    <xf numFmtId="0" fontId="2" fillId="0" borderId="0" xfId="0" applyFont="1" applyBorder="1" applyAlignment="1"/>
    <xf numFmtId="0" fontId="2" fillId="0" borderId="0" xfId="0" applyNumberFormat="1" applyFont="1" applyBorder="1" applyAlignment="1"/>
    <xf numFmtId="0" fontId="21" fillId="0" borderId="0" xfId="0" applyNumberFormat="1" applyFont="1" applyBorder="1" applyAlignment="1"/>
    <xf numFmtId="0" fontId="22" fillId="0" borderId="0" xfId="0" applyFont="1" applyBorder="1" applyAlignment="1"/>
    <xf numFmtId="0" fontId="24" fillId="0" borderId="0" xfId="0" applyNumberFormat="1" applyFont="1" applyBorder="1" applyAlignment="1">
      <alignment horizontal="center" vertical="center" wrapText="1"/>
    </xf>
    <xf numFmtId="0" fontId="25" fillId="0" borderId="0" xfId="0" applyFont="1" applyBorder="1" applyAlignment="1"/>
    <xf numFmtId="0" fontId="24" fillId="0" borderId="0" xfId="0" applyNumberFormat="1" applyFont="1" applyBorder="1" applyAlignment="1"/>
    <xf numFmtId="1" fontId="24" fillId="4" borderId="1" xfId="0" applyNumberFormat="1" applyFont="1" applyFill="1" applyBorder="1" applyAlignment="1">
      <alignment horizontal="center" vertical="center"/>
    </xf>
    <xf numFmtId="0" fontId="21" fillId="0" borderId="0" xfId="0" applyFont="1" applyBorder="1" applyAlignment="1">
      <alignment vertical="center"/>
    </xf>
    <xf numFmtId="1" fontId="7" fillId="8" borderId="1" xfId="0" applyNumberFormat="1" applyFont="1" applyFill="1" applyBorder="1" applyAlignment="1">
      <alignment horizontal="center" vertical="center"/>
    </xf>
    <xf numFmtId="1" fontId="5" fillId="0" borderId="0" xfId="0" applyNumberFormat="1" applyFont="1" applyAlignment="1">
      <alignment vertical="center"/>
    </xf>
    <xf numFmtId="1" fontId="24" fillId="11" borderId="1" xfId="0" applyNumberFormat="1" applyFont="1" applyFill="1" applyBorder="1" applyAlignment="1">
      <alignment horizontal="center" vertical="center"/>
    </xf>
    <xf numFmtId="0" fontId="22" fillId="11" borderId="1" xfId="0" applyFont="1" applyFill="1" applyBorder="1" applyAlignment="1">
      <alignment horizontal="center" vertical="center" wrapText="1"/>
    </xf>
    <xf numFmtId="0" fontId="25" fillId="11" borderId="1" xfId="0" applyFont="1" applyFill="1" applyBorder="1" applyAlignment="1">
      <alignment horizontal="center"/>
    </xf>
    <xf numFmtId="0" fontId="21" fillId="0" borderId="0" xfId="0" applyFont="1" applyBorder="1" applyAlignment="1">
      <alignment horizontal="center" vertical="center"/>
    </xf>
    <xf numFmtId="0" fontId="21" fillId="0" borderId="0" xfId="0" applyNumberFormat="1" applyFont="1" applyBorder="1" applyAlignment="1">
      <alignment vertical="center"/>
    </xf>
    <xf numFmtId="0" fontId="27" fillId="0" borderId="0" xfId="0" applyNumberFormat="1" applyFont="1" applyBorder="1" applyAlignment="1">
      <alignment vertical="center"/>
    </xf>
    <xf numFmtId="0" fontId="2" fillId="0" borderId="0" xfId="0" applyNumberFormat="1" applyFont="1" applyBorder="1" applyAlignment="1">
      <alignment vertical="center"/>
    </xf>
    <xf numFmtId="0" fontId="26" fillId="0" borderId="0" xfId="0" applyFont="1" applyBorder="1" applyAlignment="1">
      <alignment vertical="center"/>
    </xf>
    <xf numFmtId="0" fontId="22" fillId="0" borderId="0" xfId="0" applyFont="1" applyAlignment="1"/>
    <xf numFmtId="0"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8" fillId="0" borderId="0" xfId="0" applyFont="1" applyBorder="1" applyAlignment="1">
      <alignment vertical="center"/>
    </xf>
    <xf numFmtId="164" fontId="28" fillId="0" borderId="0" xfId="0" applyNumberFormat="1" applyFont="1" applyBorder="1" applyAlignment="1">
      <alignment horizontal="center" vertical="center"/>
    </xf>
    <xf numFmtId="0" fontId="28" fillId="0" borderId="0" xfId="0" applyNumberFormat="1" applyFont="1" applyBorder="1" applyAlignment="1">
      <alignment vertical="center"/>
    </xf>
    <xf numFmtId="0" fontId="29" fillId="0" borderId="0" xfId="0" applyNumberFormat="1" applyFont="1" applyBorder="1" applyAlignment="1">
      <alignment vertical="center"/>
    </xf>
    <xf numFmtId="0" fontId="26" fillId="0" borderId="0" xfId="0" applyFont="1" applyBorder="1" applyAlignment="1">
      <alignment horizontal="center" vertical="center"/>
    </xf>
    <xf numFmtId="1" fontId="23" fillId="0" borderId="0" xfId="0" applyNumberFormat="1" applyFont="1" applyBorder="1" applyAlignment="1">
      <alignment horizontal="center" vertical="center"/>
    </xf>
    <xf numFmtId="166" fontId="30"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3" fillId="0" borderId="0" xfId="0" applyNumberFormat="1" applyFont="1" applyBorder="1" applyAlignment="1">
      <alignment vertical="center"/>
    </xf>
    <xf numFmtId="0" fontId="23" fillId="0" borderId="0" xfId="0" applyFont="1" applyBorder="1" applyAlignment="1">
      <alignment vertical="center"/>
    </xf>
    <xf numFmtId="164" fontId="23" fillId="4" borderId="1" xfId="0" applyNumberFormat="1" applyFont="1" applyFill="1" applyBorder="1" applyAlignment="1">
      <alignment horizontal="center" vertical="center"/>
    </xf>
    <xf numFmtId="5" fontId="21" fillId="5" borderId="1" xfId="0" applyNumberFormat="1" applyFont="1" applyFill="1" applyBorder="1" applyAlignment="1">
      <alignment horizontal="center" vertical="center"/>
    </xf>
    <xf numFmtId="5" fontId="5" fillId="8" borderId="1"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9" fontId="24" fillId="4" borderId="1" xfId="2" applyFont="1" applyFill="1" applyBorder="1" applyAlignment="1">
      <alignment horizontal="center" vertical="center"/>
    </xf>
    <xf numFmtId="9" fontId="24" fillId="5" borderId="1" xfId="2" applyFont="1" applyFill="1" applyBorder="1" applyAlignment="1">
      <alignment horizontal="center" vertical="center"/>
    </xf>
    <xf numFmtId="9" fontId="23" fillId="4" borderId="1" xfId="2" applyFont="1" applyFill="1" applyBorder="1" applyAlignment="1">
      <alignment horizontal="center" vertical="center"/>
    </xf>
    <xf numFmtId="9" fontId="23" fillId="5" borderId="1" xfId="2" applyFont="1" applyFill="1" applyBorder="1" applyAlignment="1">
      <alignment horizontal="center" vertical="center"/>
    </xf>
    <xf numFmtId="0" fontId="23" fillId="0" borderId="0" xfId="0" applyNumberFormat="1" applyFont="1" applyBorder="1" applyAlignment="1">
      <alignment horizontal="center" vertical="center" wrapText="1"/>
    </xf>
    <xf numFmtId="0" fontId="26" fillId="0" borderId="0" xfId="0" applyFont="1" applyBorder="1" applyAlignment="1"/>
    <xf numFmtId="0" fontId="8" fillId="6" borderId="8" xfId="0" applyFont="1" applyFill="1" applyBorder="1" applyAlignment="1"/>
    <xf numFmtId="0" fontId="9" fillId="10"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2" fontId="5" fillId="4" borderId="1" xfId="0" applyNumberFormat="1" applyFont="1" applyFill="1" applyBorder="1" applyAlignment="1">
      <alignment horizontal="center"/>
    </xf>
    <xf numFmtId="0" fontId="9" fillId="5" borderId="1" xfId="0" applyFont="1" applyFill="1" applyBorder="1" applyAlignment="1">
      <alignment vertical="center"/>
    </xf>
    <xf numFmtId="7" fontId="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5" borderId="10" xfId="0" applyFont="1" applyFill="1" applyBorder="1" applyAlignment="1">
      <alignment vertical="center"/>
    </xf>
    <xf numFmtId="0" fontId="5" fillId="9" borderId="0" xfId="0" applyFont="1" applyFill="1" applyAlignment="1"/>
    <xf numFmtId="0" fontId="33" fillId="0" borderId="0" xfId="0" applyFont="1" applyBorder="1" applyAlignment="1"/>
    <xf numFmtId="0" fontId="33" fillId="0" borderId="0" xfId="0" applyNumberFormat="1" applyFont="1" applyBorder="1" applyAlignment="1"/>
    <xf numFmtId="0" fontId="25" fillId="0" borderId="0" xfId="0" applyNumberFormat="1" applyFont="1" applyBorder="1" applyAlignment="1"/>
    <xf numFmtId="0" fontId="23" fillId="0" borderId="0" xfId="0" applyNumberFormat="1" applyFont="1" applyBorder="1" applyAlignment="1"/>
    <xf numFmtId="0" fontId="9" fillId="9" borderId="10" xfId="0" applyFont="1" applyFill="1" applyBorder="1" applyAlignment="1">
      <alignment horizontal="center" vertical="center"/>
    </xf>
    <xf numFmtId="0" fontId="5" fillId="4" borderId="10" xfId="0" applyFont="1" applyFill="1" applyBorder="1" applyAlignment="1">
      <alignment horizontal="center" vertical="center"/>
    </xf>
    <xf numFmtId="0" fontId="21" fillId="9" borderId="0" xfId="0" applyFont="1" applyFill="1" applyBorder="1" applyAlignment="1"/>
    <xf numFmtId="0" fontId="33" fillId="9" borderId="0" xfId="0" applyFont="1" applyFill="1" applyBorder="1" applyAlignment="1"/>
    <xf numFmtId="0" fontId="22" fillId="9" borderId="0" xfId="0" applyFont="1" applyFill="1" applyBorder="1" applyAlignment="1"/>
    <xf numFmtId="0" fontId="21" fillId="9" borderId="0" xfId="0" applyNumberFormat="1" applyFont="1" applyFill="1" applyBorder="1" applyAlignment="1"/>
    <xf numFmtId="0" fontId="24" fillId="9" borderId="0" xfId="0" applyNumberFormat="1" applyFont="1" applyFill="1" applyBorder="1" applyAlignment="1"/>
    <xf numFmtId="0" fontId="33" fillId="9" borderId="0" xfId="0" applyNumberFormat="1" applyFont="1" applyFill="1" applyBorder="1" applyAlignment="1"/>
    <xf numFmtId="0" fontId="0" fillId="9" borderId="0" xfId="0" applyFill="1" applyAlignment="1"/>
    <xf numFmtId="9" fontId="5" fillId="4" borderId="1" xfId="2" applyFont="1" applyFill="1" applyBorder="1" applyAlignment="1">
      <alignment horizontal="center" vertical="center"/>
    </xf>
    <xf numFmtId="9" fontId="0" fillId="0" borderId="0" xfId="0" applyNumberFormat="1" applyAlignment="1"/>
    <xf numFmtId="9" fontId="23" fillId="9" borderId="0" xfId="2" applyFont="1" applyFill="1" applyBorder="1" applyAlignment="1">
      <alignment horizontal="center" vertical="center"/>
    </xf>
    <xf numFmtId="0" fontId="22" fillId="9" borderId="0" xfId="0" applyFont="1" applyFill="1" applyAlignment="1"/>
    <xf numFmtId="0" fontId="21" fillId="9" borderId="0" xfId="0" applyFont="1" applyFill="1" applyBorder="1" applyAlignment="1">
      <alignment horizontal="center" vertical="center"/>
    </xf>
    <xf numFmtId="0" fontId="21" fillId="9" borderId="0" xfId="0" applyNumberFormat="1" applyFont="1" applyFill="1" applyBorder="1" applyAlignment="1">
      <alignment horizontal="center" vertical="center"/>
    </xf>
    <xf numFmtId="0" fontId="28" fillId="9" borderId="0" xfId="0" applyFont="1" applyFill="1" applyBorder="1" applyAlignment="1">
      <alignment vertical="center"/>
    </xf>
    <xf numFmtId="0" fontId="26" fillId="0" borderId="0" xfId="0" applyFont="1" applyAlignment="1"/>
    <xf numFmtId="0" fontId="1" fillId="0" borderId="0" xfId="0" applyNumberFormat="1" applyFont="1" applyBorder="1" applyAlignment="1"/>
    <xf numFmtId="0" fontId="1" fillId="0" borderId="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1" fillId="0" borderId="0" xfId="0" applyNumberFormat="1" applyFont="1" applyFill="1" applyBorder="1" applyAlignment="1"/>
    <xf numFmtId="0" fontId="26" fillId="0" borderId="0" xfId="0" applyFont="1" applyBorder="1" applyAlignment="1">
      <alignment horizontal="center" vertical="center" wrapText="1"/>
    </xf>
    <xf numFmtId="1" fontId="23" fillId="4" borderId="1" xfId="0" applyNumberFormat="1" applyFont="1" applyFill="1" applyBorder="1" applyAlignment="1">
      <alignment horizontal="center" vertical="center"/>
    </xf>
    <xf numFmtId="1" fontId="23" fillId="5" borderId="1" xfId="0" applyNumberFormat="1" applyFont="1" applyFill="1" applyBorder="1" applyAlignment="1">
      <alignment horizontal="center" vertical="center"/>
    </xf>
    <xf numFmtId="0" fontId="26" fillId="9" borderId="0" xfId="0" applyFont="1" applyFill="1" applyAlignment="1"/>
    <xf numFmtId="0" fontId="32" fillId="0" borderId="0" xfId="0" applyFont="1" applyAlignment="1"/>
    <xf numFmtId="0" fontId="5" fillId="0" borderId="0" xfId="0" applyFont="1" applyAlignment="1">
      <alignment vertical="center" wrapText="1"/>
    </xf>
    <xf numFmtId="0" fontId="15" fillId="11" borderId="1" xfId="0" applyFont="1" applyFill="1" applyBorder="1" applyAlignment="1"/>
    <xf numFmtId="0" fontId="32" fillId="9" borderId="0" xfId="0" applyFont="1" applyFill="1" applyAlignment="1"/>
    <xf numFmtId="3" fontId="15" fillId="4"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32" fillId="0" borderId="0" xfId="0" applyFont="1" applyBorder="1" applyAlignment="1"/>
    <xf numFmtId="0" fontId="7" fillId="0" borderId="0" xfId="0" applyNumberFormat="1" applyFont="1" applyBorder="1" applyAlignment="1"/>
    <xf numFmtId="0" fontId="7" fillId="0" borderId="0" xfId="0" applyFont="1" applyBorder="1" applyAlignment="1"/>
    <xf numFmtId="0" fontId="11" fillId="0" borderId="0" xfId="0" applyNumberFormat="1" applyFont="1" applyBorder="1" applyAlignment="1">
      <alignment horizontal="center" vertical="center" wrapText="1"/>
    </xf>
    <xf numFmtId="0" fontId="5" fillId="0" borderId="0" xfId="0" applyFont="1" applyBorder="1" applyAlignment="1"/>
    <xf numFmtId="0" fontId="13" fillId="0" borderId="0" xfId="0" applyNumberFormat="1" applyFont="1" applyBorder="1" applyAlignment="1"/>
    <xf numFmtId="0" fontId="11" fillId="0" borderId="0" xfId="0" applyNumberFormat="1" applyFont="1" applyBorder="1" applyAlignment="1"/>
    <xf numFmtId="1" fontId="11" fillId="4" borderId="1" xfId="0" applyNumberFormat="1" applyFont="1" applyFill="1" applyBorder="1" applyAlignment="1">
      <alignment horizontal="center" vertical="center"/>
    </xf>
    <xf numFmtId="1" fontId="11" fillId="5" borderId="1"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11" fillId="0" borderId="0" xfId="0" applyNumberFormat="1" applyFont="1" applyBorder="1" applyAlignment="1">
      <alignment vertical="center"/>
    </xf>
    <xf numFmtId="164" fontId="11" fillId="4" borderId="1" xfId="0" applyNumberFormat="1" applyFont="1" applyFill="1" applyBorder="1" applyAlignment="1">
      <alignment horizontal="center" vertical="center"/>
    </xf>
    <xf numFmtId="0" fontId="11" fillId="0" borderId="0" xfId="0" applyFont="1" applyBorder="1" applyAlignment="1">
      <alignment vertical="center"/>
    </xf>
    <xf numFmtId="0" fontId="37" fillId="0" borderId="0" xfId="0" applyFont="1" applyBorder="1" applyAlignment="1">
      <alignment vertical="center"/>
    </xf>
    <xf numFmtId="164" fontId="37" fillId="0" borderId="0" xfId="0" applyNumberFormat="1" applyFont="1" applyBorder="1" applyAlignment="1">
      <alignment horizontal="center" vertical="center"/>
    </xf>
    <xf numFmtId="9" fontId="11" fillId="4" borderId="1" xfId="2" applyFont="1" applyFill="1" applyBorder="1" applyAlignment="1">
      <alignment horizontal="center" vertical="center"/>
    </xf>
    <xf numFmtId="9" fontId="11" fillId="5" borderId="1" xfId="2" applyFont="1" applyFill="1" applyBorder="1" applyAlignment="1">
      <alignment horizontal="center" vertical="center"/>
    </xf>
    <xf numFmtId="0" fontId="38" fillId="0" borderId="0" xfId="0" applyNumberFormat="1" applyFont="1" applyBorder="1" applyAlignment="1"/>
    <xf numFmtId="0" fontId="40" fillId="0" borderId="0" xfId="0" applyNumberFormat="1" applyFont="1" applyBorder="1" applyAlignment="1"/>
    <xf numFmtId="9" fontId="5" fillId="8" borderId="1" xfId="2" applyNumberFormat="1" applyFont="1" applyFill="1" applyBorder="1" applyAlignment="1">
      <alignment horizontal="center" vertical="center"/>
    </xf>
    <xf numFmtId="9" fontId="11" fillId="4" borderId="1" xfId="2" applyNumberFormat="1" applyFont="1" applyFill="1" applyBorder="1" applyAlignment="1">
      <alignment horizontal="center" vertical="center"/>
    </xf>
    <xf numFmtId="167" fontId="5" fillId="0" borderId="0" xfId="0" applyNumberFormat="1" applyFont="1" applyBorder="1" applyAlignment="1"/>
    <xf numFmtId="168" fontId="5" fillId="0" borderId="0" xfId="0" applyNumberFormat="1" applyFont="1" applyBorder="1" applyAlignment="1"/>
    <xf numFmtId="5" fontId="11" fillId="5" borderId="1" xfId="0" applyNumberFormat="1" applyFont="1" applyFill="1" applyBorder="1" applyAlignment="1">
      <alignment horizontal="center" vertical="center"/>
    </xf>
    <xf numFmtId="0" fontId="5" fillId="9" borderId="0" xfId="0" applyFont="1" applyFill="1" applyBorder="1" applyAlignment="1"/>
    <xf numFmtId="9" fontId="24" fillId="2" borderId="1" xfId="2" applyFont="1" applyFill="1" applyBorder="1" applyAlignment="1" applyProtection="1">
      <alignment horizontal="center" vertical="center"/>
      <protection locked="0"/>
    </xf>
    <xf numFmtId="0" fontId="24" fillId="2" borderId="1" xfId="0" applyNumberFormat="1" applyFont="1" applyFill="1" applyBorder="1" applyAlignment="1" applyProtection="1">
      <alignment horizontal="center" vertical="center"/>
      <protection locked="0"/>
    </xf>
    <xf numFmtId="5" fontId="21" fillId="7" borderId="1" xfId="0" applyNumberFormat="1" applyFont="1" applyFill="1" applyBorder="1" applyAlignment="1" applyProtection="1">
      <alignment horizontal="center" vertical="center"/>
      <protection locked="0"/>
    </xf>
    <xf numFmtId="9" fontId="23" fillId="7" borderId="1" xfId="2" applyFont="1" applyFill="1" applyBorder="1" applyAlignment="1" applyProtection="1">
      <alignment horizontal="center" vertical="center"/>
      <protection locked="0"/>
    </xf>
    <xf numFmtId="9" fontId="11" fillId="7" borderId="1" xfId="2" applyFont="1" applyFill="1" applyBorder="1" applyAlignment="1" applyProtection="1">
      <alignment horizontal="center" vertical="center"/>
      <protection locked="0"/>
    </xf>
    <xf numFmtId="1" fontId="11" fillId="7" borderId="1" xfId="0" applyNumberFormat="1" applyFont="1" applyFill="1" applyBorder="1" applyAlignment="1" applyProtection="1">
      <alignment horizontal="center" vertical="center"/>
      <protection locked="0"/>
    </xf>
    <xf numFmtId="5" fontId="11" fillId="7"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8" fillId="12" borderId="1" xfId="0" applyFont="1" applyFill="1" applyBorder="1" applyAlignment="1">
      <alignment horizontal="center" vertical="center" wrapText="1"/>
    </xf>
    <xf numFmtId="0" fontId="9" fillId="10" borderId="1" xfId="0" applyFont="1" applyFill="1" applyBorder="1" applyAlignment="1">
      <alignment vertical="center" wrapText="1"/>
    </xf>
    <xf numFmtId="0" fontId="9" fillId="10" borderId="9" xfId="0" applyFont="1" applyFill="1" applyBorder="1" applyAlignment="1">
      <alignment vertical="center" wrapText="1"/>
    </xf>
    <xf numFmtId="0" fontId="9" fillId="10" borderId="15" xfId="0" applyFont="1" applyFill="1" applyBorder="1" applyAlignment="1">
      <alignment vertical="center" wrapText="1"/>
    </xf>
    <xf numFmtId="164" fontId="5" fillId="4" borderId="16" xfId="0" applyNumberFormat="1" applyFont="1" applyFill="1" applyBorder="1" applyAlignment="1">
      <alignment horizontal="center" vertical="center"/>
    </xf>
    <xf numFmtId="164" fontId="5" fillId="4" borderId="17" xfId="0" applyNumberFormat="1" applyFont="1" applyFill="1" applyBorder="1" applyAlignment="1">
      <alignment horizontal="center" vertical="center"/>
    </xf>
    <xf numFmtId="0" fontId="8" fillId="12" borderId="9" xfId="0" applyFont="1" applyFill="1" applyBorder="1" applyAlignment="1">
      <alignment horizontal="center" vertical="center" wrapText="1"/>
    </xf>
    <xf numFmtId="0" fontId="51" fillId="0" borderId="18" xfId="0" applyFont="1" applyBorder="1" applyAlignment="1">
      <alignment vertical="center" wrapText="1"/>
    </xf>
    <xf numFmtId="0" fontId="5" fillId="7" borderId="1" xfId="0" applyFont="1" applyFill="1" applyBorder="1" applyAlignment="1" applyProtection="1">
      <alignment horizontal="center" vertical="center"/>
      <protection locked="0"/>
    </xf>
    <xf numFmtId="164" fontId="5" fillId="7" borderId="9" xfId="0" applyNumberFormat="1" applyFont="1" applyFill="1" applyBorder="1" applyAlignment="1" applyProtection="1">
      <alignment horizontal="center" vertical="center"/>
      <protection locked="0"/>
    </xf>
    <xf numFmtId="0" fontId="52" fillId="0" borderId="0" xfId="0" applyFont="1" applyBorder="1" applyAlignment="1">
      <alignment vertical="center"/>
    </xf>
    <xf numFmtId="0" fontId="53" fillId="0" borderId="0" xfId="0" applyFont="1" applyAlignment="1">
      <alignment vertical="top"/>
    </xf>
    <xf numFmtId="0" fontId="7" fillId="7" borderId="1" xfId="0" applyFont="1" applyFill="1" applyBorder="1" applyAlignment="1" applyProtection="1">
      <alignment horizontal="center" vertical="center"/>
      <protection locked="0"/>
    </xf>
    <xf numFmtId="166" fontId="17" fillId="7" borderId="6" xfId="0" applyNumberFormat="1" applyFont="1" applyFill="1" applyBorder="1" applyAlignment="1" applyProtection="1">
      <alignment horizontal="center" vertical="center"/>
      <protection locked="0"/>
    </xf>
    <xf numFmtId="166" fontId="17" fillId="7" borderId="1" xfId="0" applyNumberFormat="1" applyFont="1" applyFill="1" applyBorder="1" applyAlignment="1" applyProtection="1">
      <alignment horizontal="center" vertical="center"/>
      <protection locked="0"/>
    </xf>
    <xf numFmtId="165" fontId="17" fillId="7" borderId="1" xfId="0" applyNumberFormat="1" applyFont="1" applyFill="1" applyBorder="1" applyAlignment="1" applyProtection="1">
      <alignment horizontal="center" vertical="center"/>
      <protection locked="0"/>
    </xf>
    <xf numFmtId="0" fontId="11" fillId="5" borderId="4" xfId="0" applyNumberFormat="1" applyFont="1" applyFill="1" applyBorder="1" applyAlignment="1"/>
    <xf numFmtId="0" fontId="0" fillId="0" borderId="1" xfId="0" applyBorder="1" applyAlignment="1">
      <alignment vertical="center"/>
    </xf>
    <xf numFmtId="0" fontId="5" fillId="0" borderId="1" xfId="0" applyFont="1" applyBorder="1" applyAlignment="1">
      <alignment vertical="center"/>
    </xf>
    <xf numFmtId="0" fontId="16"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 fontId="56" fillId="0" borderId="0" xfId="0" applyNumberFormat="1" applyFont="1" applyBorder="1" applyAlignment="1">
      <alignment horizontal="center" vertical="center" wrapText="1"/>
    </xf>
    <xf numFmtId="164" fontId="59" fillId="0" borderId="0" xfId="0" applyNumberFormat="1" applyFont="1" applyBorder="1" applyAlignment="1">
      <alignment horizontal="center" vertical="center"/>
    </xf>
    <xf numFmtId="9" fontId="59" fillId="4" borderId="1" xfId="2" applyFont="1" applyFill="1" applyBorder="1" applyAlignment="1">
      <alignment horizontal="center" vertical="center"/>
    </xf>
    <xf numFmtId="9" fontId="59" fillId="11" borderId="1" xfId="2" applyFont="1" applyFill="1" applyBorder="1" applyAlignment="1">
      <alignment horizontal="center" vertical="center"/>
    </xf>
    <xf numFmtId="3" fontId="7" fillId="4" borderId="9" xfId="0" applyNumberFormat="1" applyFont="1" applyFill="1" applyBorder="1" applyAlignment="1">
      <alignment horizontal="center"/>
    </xf>
    <xf numFmtId="3" fontId="7" fillId="4" borderId="13" xfId="0" applyNumberFormat="1" applyFont="1" applyFill="1" applyBorder="1" applyAlignment="1">
      <alignment horizontal="center"/>
    </xf>
    <xf numFmtId="3" fontId="7" fillId="4" borderId="11" xfId="0" applyNumberFormat="1" applyFont="1" applyFill="1" applyBorder="1" applyAlignment="1">
      <alignment horizontal="center"/>
    </xf>
    <xf numFmtId="0" fontId="0" fillId="0" borderId="1" xfId="0" applyBorder="1" applyAlignment="1"/>
    <xf numFmtId="0" fontId="42" fillId="0" borderId="0" xfId="3" applyFont="1" applyAlignment="1"/>
    <xf numFmtId="0" fontId="41" fillId="0" borderId="0" xfId="3" applyFont="1" applyAlignment="1"/>
    <xf numFmtId="0" fontId="43" fillId="0" borderId="0" xfId="3" applyFont="1" applyAlignment="1"/>
    <xf numFmtId="0" fontId="41" fillId="0" borderId="0" xfId="3" applyFont="1" applyAlignment="1">
      <alignment vertical="center" wrapText="1"/>
    </xf>
    <xf numFmtId="0" fontId="45" fillId="0" borderId="0" xfId="3" applyFont="1" applyAlignment="1">
      <alignment vertical="center"/>
    </xf>
    <xf numFmtId="0" fontId="44" fillId="0" borderId="0" xfId="3" applyFont="1" applyAlignment="1">
      <alignment vertical="center"/>
    </xf>
    <xf numFmtId="0" fontId="21" fillId="0" borderId="0" xfId="0" applyFont="1" applyBorder="1" applyAlignment="1" applyProtection="1"/>
    <xf numFmtId="9" fontId="59" fillId="7" borderId="1" xfId="2"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46" fillId="0" borderId="0" xfId="3" applyFont="1" applyAlignment="1">
      <alignment vertical="center" wrapText="1"/>
    </xf>
    <xf numFmtId="0" fontId="5"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37" fontId="7" fillId="5" borderId="7" xfId="1" applyNumberFormat="1" applyFont="1" applyFill="1" applyBorder="1" applyAlignment="1" applyProtection="1">
      <alignment horizontal="center" vertical="center"/>
    </xf>
    <xf numFmtId="165" fontId="7" fillId="5" borderId="7"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9" fontId="17" fillId="4" borderId="6" xfId="2" applyFont="1" applyFill="1" applyBorder="1" applyAlignment="1" applyProtection="1">
      <alignment horizontal="center" vertical="center"/>
    </xf>
    <xf numFmtId="9" fontId="17" fillId="4" borderId="1" xfId="2" applyFont="1" applyFill="1" applyBorder="1" applyAlignment="1" applyProtection="1">
      <alignment horizontal="center" vertical="center"/>
    </xf>
    <xf numFmtId="9" fontId="7" fillId="5" borderId="7" xfId="2" applyFont="1" applyFill="1" applyBorder="1" applyAlignment="1" applyProtection="1">
      <alignment horizontal="center" vertical="center"/>
    </xf>
    <xf numFmtId="9" fontId="17" fillId="4" borderId="6"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1" fontId="7" fillId="4" borderId="6" xfId="2" applyNumberFormat="1" applyFont="1" applyFill="1" applyBorder="1" applyAlignment="1" applyProtection="1">
      <alignment horizontal="center" vertical="center"/>
    </xf>
    <xf numFmtId="1" fontId="7" fillId="4" borderId="1" xfId="2" applyNumberFormat="1" applyFont="1" applyFill="1" applyBorder="1" applyAlignment="1" applyProtection="1">
      <alignment horizontal="center" vertical="center"/>
    </xf>
    <xf numFmtId="1" fontId="7" fillId="5" borderId="7" xfId="2" applyNumberFormat="1" applyFont="1" applyFill="1" applyBorder="1" applyAlignment="1" applyProtection="1">
      <alignment horizontal="center" vertical="center"/>
    </xf>
    <xf numFmtId="9" fontId="7" fillId="4" borderId="1" xfId="2" applyFont="1" applyFill="1" applyBorder="1" applyAlignment="1" applyProtection="1">
      <alignment horizontal="center" vertical="center"/>
    </xf>
    <xf numFmtId="0" fontId="22" fillId="0" borderId="0" xfId="0" applyFont="1" applyBorder="1" applyAlignment="1" applyProtection="1"/>
    <xf numFmtId="0" fontId="21" fillId="0" borderId="0" xfId="0" applyNumberFormat="1" applyFont="1" applyBorder="1" applyAlignment="1" applyProtection="1"/>
    <xf numFmtId="0" fontId="21" fillId="0" borderId="0" xfId="0" applyFont="1" applyBorder="1" applyAlignment="1" applyProtection="1">
      <alignment vertical="center"/>
    </xf>
    <xf numFmtId="0" fontId="7" fillId="0" borderId="0" xfId="0" applyFont="1" applyBorder="1" applyAlignment="1" applyProtection="1"/>
    <xf numFmtId="0" fontId="5" fillId="0" borderId="0" xfId="0" applyFont="1" applyBorder="1" applyAlignment="1" applyProtection="1"/>
    <xf numFmtId="0" fontId="11" fillId="0" borderId="0" xfId="0" applyNumberFormat="1" applyFont="1" applyBorder="1" applyAlignment="1" applyProtection="1">
      <alignment horizontal="center" vertical="center" wrapText="1"/>
    </xf>
    <xf numFmtId="0" fontId="11" fillId="0" borderId="0" xfId="0" applyNumberFormat="1" applyFont="1" applyBorder="1" applyAlignment="1" applyProtection="1"/>
    <xf numFmtId="9" fontId="11" fillId="4" borderId="1" xfId="2" applyFont="1" applyFill="1" applyBorder="1" applyAlignment="1" applyProtection="1">
      <alignment horizontal="center" vertical="center"/>
    </xf>
    <xf numFmtId="1" fontId="55" fillId="0" borderId="0" xfId="0" applyNumberFormat="1" applyFont="1" applyBorder="1" applyAlignment="1">
      <alignment horizontal="center" vertical="center" wrapText="1"/>
    </xf>
    <xf numFmtId="0" fontId="7" fillId="7" borderId="6" xfId="0" applyFont="1" applyFill="1" applyBorder="1" applyAlignment="1" applyProtection="1">
      <alignment horizontal="center" vertical="center"/>
      <protection locked="0"/>
    </xf>
    <xf numFmtId="165" fontId="17" fillId="7" borderId="6" xfId="0" applyNumberFormat="1" applyFont="1" applyFill="1" applyBorder="1" applyAlignment="1" applyProtection="1">
      <alignment horizontal="center" vertical="center"/>
      <protection locked="0"/>
    </xf>
    <xf numFmtId="0" fontId="15" fillId="0" borderId="0" xfId="0" applyFont="1" applyBorder="1" applyAlignment="1" applyProtection="1"/>
    <xf numFmtId="0" fontId="0" fillId="0" borderId="0" xfId="0" applyBorder="1" applyAlignment="1" applyProtection="1"/>
    <xf numFmtId="0" fontId="5" fillId="0" borderId="0" xfId="0" applyFont="1" applyBorder="1" applyAlignment="1" applyProtection="1">
      <alignment vertical="center" wrapText="1"/>
    </xf>
    <xf numFmtId="166" fontId="7" fillId="5" borderId="7" xfId="0" applyNumberFormat="1" applyFont="1" applyFill="1" applyBorder="1" applyAlignment="1" applyProtection="1">
      <alignment horizontal="center" vertical="center"/>
    </xf>
    <xf numFmtId="166" fontId="17" fillId="7" borderId="20" xfId="0" applyNumberFormat="1" applyFont="1" applyFill="1" applyBorder="1" applyAlignment="1" applyProtection="1">
      <alignment horizontal="center" vertical="center"/>
      <protection locked="0"/>
    </xf>
    <xf numFmtId="166" fontId="17" fillId="7" borderId="10" xfId="0" applyNumberFormat="1" applyFont="1" applyFill="1" applyBorder="1" applyAlignment="1" applyProtection="1">
      <alignment horizontal="center" vertical="center"/>
      <protection locked="0"/>
    </xf>
    <xf numFmtId="37" fontId="7" fillId="5" borderId="21" xfId="1" applyNumberFormat="1" applyFont="1" applyFill="1" applyBorder="1" applyAlignment="1" applyProtection="1">
      <alignment horizontal="center" vertical="center"/>
    </xf>
    <xf numFmtId="165" fontId="17" fillId="7" borderId="20" xfId="0" applyNumberFormat="1" applyFont="1" applyFill="1" applyBorder="1" applyAlignment="1" applyProtection="1">
      <alignment horizontal="center" vertical="center"/>
      <protection locked="0"/>
    </xf>
    <xf numFmtId="165" fontId="17" fillId="7" borderId="10" xfId="0" applyNumberFormat="1" applyFont="1" applyFill="1" applyBorder="1" applyAlignment="1" applyProtection="1">
      <alignment horizontal="center" vertical="center"/>
      <protection locked="0"/>
    </xf>
    <xf numFmtId="165" fontId="7" fillId="5" borderId="21" xfId="0" applyNumberFormat="1"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37" fontId="7" fillId="4" borderId="19" xfId="1" applyNumberFormat="1" applyFont="1" applyFill="1" applyBorder="1" applyAlignment="1" applyProtection="1">
      <alignment horizontal="center" vertical="center"/>
    </xf>
    <xf numFmtId="37" fontId="7" fillId="4" borderId="2" xfId="1" applyNumberFormat="1" applyFont="1" applyFill="1" applyBorder="1" applyAlignment="1" applyProtection="1">
      <alignment horizontal="center" vertical="center"/>
    </xf>
    <xf numFmtId="37" fontId="7" fillId="5" borderId="3" xfId="1" applyNumberFormat="1" applyFont="1" applyFill="1" applyBorder="1" applyAlignment="1" applyProtection="1">
      <alignment horizontal="center" vertical="center"/>
    </xf>
    <xf numFmtId="165" fontId="7" fillId="4" borderId="19" xfId="0" applyNumberFormat="1" applyFont="1" applyFill="1" applyBorder="1" applyAlignment="1" applyProtection="1">
      <alignment horizontal="center" vertical="center"/>
    </xf>
    <xf numFmtId="165" fontId="7" fillId="4" borderId="2" xfId="0" applyNumberFormat="1" applyFont="1" applyFill="1" applyBorder="1" applyAlignment="1" applyProtection="1">
      <alignment horizontal="center" vertical="center"/>
    </xf>
    <xf numFmtId="165" fontId="7" fillId="5" borderId="3" xfId="0" applyNumberFormat="1" applyFont="1" applyFill="1" applyBorder="1" applyAlignment="1" applyProtection="1">
      <alignment horizontal="center" vertical="center"/>
    </xf>
    <xf numFmtId="9" fontId="7" fillId="4" borderId="19" xfId="2" applyFont="1" applyFill="1" applyBorder="1" applyAlignment="1" applyProtection="1">
      <alignment horizontal="center" vertical="center"/>
    </xf>
    <xf numFmtId="9" fontId="7" fillId="4" borderId="2" xfId="2" applyFont="1" applyFill="1" applyBorder="1" applyAlignment="1" applyProtection="1">
      <alignment horizontal="center" vertical="center"/>
    </xf>
    <xf numFmtId="9" fontId="7" fillId="5" borderId="3" xfId="2"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9" fillId="10" borderId="1" xfId="0" applyFont="1" applyFill="1" applyBorder="1" applyAlignment="1">
      <alignment horizontal="center" vertical="center"/>
    </xf>
    <xf numFmtId="0" fontId="5" fillId="0" borderId="0" xfId="0" applyFont="1" applyBorder="1" applyAlignment="1" applyProtection="1">
      <alignment vertical="top" wrapText="1"/>
    </xf>
    <xf numFmtId="0" fontId="50" fillId="0" borderId="0" xfId="0" applyFont="1" applyBorder="1" applyAlignment="1" applyProtection="1">
      <alignment vertical="top" wrapText="1"/>
    </xf>
    <xf numFmtId="0" fontId="41" fillId="0" borderId="0" xfId="3" applyFont="1" applyAlignment="1">
      <alignment horizontal="left" vertical="center" wrapText="1"/>
    </xf>
    <xf numFmtId="37" fontId="7" fillId="4" borderId="6" xfId="1" applyNumberFormat="1" applyFont="1" applyFill="1" applyBorder="1" applyAlignment="1" applyProtection="1">
      <alignment horizontal="center" vertical="center"/>
    </xf>
    <xf numFmtId="37" fontId="7" fillId="4" borderId="1" xfId="1" applyNumberFormat="1" applyFont="1" applyFill="1" applyBorder="1" applyAlignment="1" applyProtection="1">
      <alignment horizontal="center" vertical="center"/>
    </xf>
    <xf numFmtId="9" fontId="17" fillId="4" borderId="20" xfId="0" applyNumberFormat="1" applyFont="1" applyFill="1" applyBorder="1" applyAlignment="1" applyProtection="1">
      <alignment horizontal="center" vertical="center"/>
    </xf>
    <xf numFmtId="9" fontId="17" fillId="4" borderId="10" xfId="0" applyNumberFormat="1" applyFont="1" applyFill="1" applyBorder="1" applyAlignment="1" applyProtection="1">
      <alignment horizontal="center" vertical="center"/>
    </xf>
    <xf numFmtId="9" fontId="7" fillId="5" borderId="21" xfId="2" applyFont="1" applyFill="1" applyBorder="1" applyAlignment="1" applyProtection="1">
      <alignment horizontal="center" vertical="center"/>
    </xf>
    <xf numFmtId="1" fontId="7" fillId="4" borderId="20" xfId="2" applyNumberFormat="1" applyFont="1" applyFill="1" applyBorder="1" applyAlignment="1" applyProtection="1">
      <alignment horizontal="center" vertical="center"/>
    </xf>
    <xf numFmtId="1" fontId="7" fillId="4" borderId="10" xfId="2" applyNumberFormat="1" applyFont="1" applyFill="1" applyBorder="1" applyAlignment="1" applyProtection="1">
      <alignment horizontal="center" vertical="center"/>
    </xf>
    <xf numFmtId="1" fontId="7" fillId="5" borderId="21" xfId="2" applyNumberFormat="1" applyFont="1" applyFill="1" applyBorder="1" applyAlignment="1" applyProtection="1">
      <alignment horizontal="center" vertical="center"/>
    </xf>
    <xf numFmtId="9" fontId="7" fillId="4" borderId="10" xfId="2" applyFont="1" applyFill="1" applyBorder="1" applyAlignment="1" applyProtection="1">
      <alignment horizontal="center" vertical="center"/>
    </xf>
    <xf numFmtId="9" fontId="17" fillId="4" borderId="19" xfId="0" applyNumberFormat="1" applyFont="1" applyFill="1" applyBorder="1" applyAlignment="1" applyProtection="1">
      <alignment horizontal="center" vertical="center"/>
    </xf>
    <xf numFmtId="9" fontId="17" fillId="4" borderId="2" xfId="0" applyNumberFormat="1" applyFont="1" applyFill="1" applyBorder="1" applyAlignment="1" applyProtection="1">
      <alignment horizontal="center" vertical="center"/>
    </xf>
    <xf numFmtId="1" fontId="7" fillId="4" borderId="19" xfId="2" applyNumberFormat="1" applyFont="1" applyFill="1" applyBorder="1" applyAlignment="1" applyProtection="1">
      <alignment horizontal="center" vertical="center"/>
    </xf>
    <xf numFmtId="1" fontId="7" fillId="4" borderId="2" xfId="2" applyNumberFormat="1" applyFont="1" applyFill="1" applyBorder="1" applyAlignment="1" applyProtection="1">
      <alignment horizontal="center" vertical="center"/>
    </xf>
    <xf numFmtId="1" fontId="7" fillId="5" borderId="3" xfId="2" applyNumberFormat="1" applyFont="1" applyFill="1" applyBorder="1" applyAlignment="1" applyProtection="1">
      <alignment horizontal="center" vertical="center"/>
    </xf>
    <xf numFmtId="0" fontId="5" fillId="0" borderId="25" xfId="0" applyFont="1" applyFill="1" applyBorder="1" applyAlignment="1" applyProtection="1">
      <alignment vertical="center"/>
    </xf>
    <xf numFmtId="0" fontId="5" fillId="0" borderId="4" xfId="0" applyFont="1" applyFill="1" applyBorder="1" applyAlignment="1" applyProtection="1">
      <alignment vertical="center"/>
    </xf>
    <xf numFmtId="0" fontId="5" fillId="5" borderId="26" xfId="0" applyFont="1" applyFill="1" applyBorder="1" applyAlignment="1" applyProtection="1">
      <alignment vertical="center"/>
    </xf>
    <xf numFmtId="166" fontId="17" fillId="7" borderId="27" xfId="0" applyNumberFormat="1" applyFont="1" applyFill="1" applyBorder="1" applyAlignment="1" applyProtection="1">
      <alignment horizontal="center" vertical="center"/>
      <protection locked="0"/>
    </xf>
    <xf numFmtId="166" fontId="17" fillId="7" borderId="28" xfId="0" applyNumberFormat="1" applyFont="1" applyFill="1" applyBorder="1" applyAlignment="1" applyProtection="1">
      <alignment horizontal="center" vertical="center"/>
      <protection locked="0"/>
    </xf>
    <xf numFmtId="37" fontId="7" fillId="5" borderId="29" xfId="1" applyNumberFormat="1" applyFont="1" applyFill="1" applyBorder="1" applyAlignment="1" applyProtection="1">
      <alignment horizontal="center" vertical="center"/>
    </xf>
    <xf numFmtId="165" fontId="17" fillId="7" borderId="27" xfId="0" applyNumberFormat="1" applyFont="1" applyFill="1" applyBorder="1" applyAlignment="1" applyProtection="1">
      <alignment horizontal="center" vertical="center"/>
      <protection locked="0"/>
    </xf>
    <xf numFmtId="165" fontId="17" fillId="7" borderId="28" xfId="0" applyNumberFormat="1" applyFont="1" applyFill="1" applyBorder="1" applyAlignment="1" applyProtection="1">
      <alignment horizontal="center" vertical="center"/>
      <protection locked="0"/>
    </xf>
    <xf numFmtId="165" fontId="7" fillId="5" borderId="29" xfId="0" applyNumberFormat="1" applyFont="1" applyFill="1" applyBorder="1" applyAlignment="1" applyProtection="1">
      <alignment horizontal="center" vertical="center"/>
    </xf>
    <xf numFmtId="37" fontId="7" fillId="4" borderId="27" xfId="1" applyNumberFormat="1" applyFont="1" applyFill="1" applyBorder="1" applyAlignment="1" applyProtection="1">
      <alignment horizontal="center" vertical="center"/>
    </xf>
    <xf numFmtId="37" fontId="7" fillId="4" borderId="28" xfId="1" applyNumberFormat="1" applyFont="1" applyFill="1" applyBorder="1" applyAlignment="1" applyProtection="1">
      <alignment horizontal="center" vertical="center"/>
    </xf>
    <xf numFmtId="166" fontId="7" fillId="5" borderId="29" xfId="0" applyNumberFormat="1" applyFont="1" applyFill="1" applyBorder="1" applyAlignment="1" applyProtection="1">
      <alignment horizontal="center" vertical="center"/>
    </xf>
    <xf numFmtId="9" fontId="17" fillId="4" borderId="27" xfId="2" applyFont="1" applyFill="1" applyBorder="1" applyAlignment="1" applyProtection="1">
      <alignment horizontal="center" vertical="center"/>
    </xf>
    <xf numFmtId="9" fontId="17" fillId="4" borderId="28" xfId="2" applyFont="1" applyFill="1" applyBorder="1" applyAlignment="1" applyProtection="1">
      <alignment horizontal="center" vertical="center"/>
    </xf>
    <xf numFmtId="9" fontId="7" fillId="5" borderId="29" xfId="2" applyFont="1" applyFill="1" applyBorder="1" applyAlignment="1" applyProtection="1">
      <alignment horizontal="center" vertical="center"/>
    </xf>
    <xf numFmtId="0" fontId="7" fillId="7" borderId="27" xfId="0"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9" fontId="17" fillId="4" borderId="27" xfId="0" applyNumberFormat="1" applyFont="1" applyFill="1" applyBorder="1" applyAlignment="1" applyProtection="1">
      <alignment horizontal="center" vertical="center"/>
    </xf>
    <xf numFmtId="9" fontId="17" fillId="4" borderId="28" xfId="0" applyNumberFormat="1" applyFont="1" applyFill="1" applyBorder="1" applyAlignment="1" applyProtection="1">
      <alignment horizontal="center" vertical="center"/>
    </xf>
    <xf numFmtId="1" fontId="7" fillId="4" borderId="27" xfId="2" applyNumberFormat="1" applyFont="1" applyFill="1" applyBorder="1" applyAlignment="1" applyProtection="1">
      <alignment horizontal="center" vertical="center"/>
    </xf>
    <xf numFmtId="1" fontId="7" fillId="4" borderId="28" xfId="2" applyNumberFormat="1" applyFont="1" applyFill="1" applyBorder="1" applyAlignment="1" applyProtection="1">
      <alignment horizontal="center" vertical="center"/>
    </xf>
    <xf numFmtId="1" fontId="7" fillId="5" borderId="29" xfId="2" applyNumberFormat="1" applyFont="1" applyFill="1" applyBorder="1" applyAlignment="1" applyProtection="1">
      <alignment horizontal="center" vertical="center"/>
    </xf>
    <xf numFmtId="9" fontId="7" fillId="4" borderId="28" xfId="2" applyFont="1" applyFill="1" applyBorder="1" applyAlignment="1" applyProtection="1">
      <alignment horizontal="center" vertical="center"/>
    </xf>
    <xf numFmtId="1" fontId="7" fillId="0" borderId="0" xfId="0" applyNumberFormat="1" applyFont="1" applyBorder="1" applyAlignment="1" applyProtection="1">
      <alignment vertical="center"/>
    </xf>
    <xf numFmtId="0" fontId="15" fillId="11" borderId="1" xfId="0" applyFont="1" applyFill="1" applyBorder="1" applyAlignment="1">
      <alignment horizontal="center" vertical="center" wrapText="1"/>
    </xf>
    <xf numFmtId="0" fontId="32" fillId="0" borderId="0" xfId="0" applyFont="1" applyAlignment="1">
      <alignment vertical="center" wrapText="1"/>
    </xf>
    <xf numFmtId="0" fontId="5" fillId="9" borderId="0" xfId="0" applyFont="1" applyFill="1" applyAlignment="1">
      <alignment vertical="center" wrapText="1"/>
    </xf>
    <xf numFmtId="0" fontId="9" fillId="12" borderId="1" xfId="0" applyFont="1" applyFill="1" applyBorder="1" applyAlignment="1">
      <alignment horizontal="center" vertical="center"/>
    </xf>
    <xf numFmtId="0" fontId="41" fillId="0" borderId="0" xfId="3" applyFont="1" applyAlignment="1">
      <alignment horizontal="left" vertical="center" wrapText="1"/>
    </xf>
    <xf numFmtId="0" fontId="43" fillId="0" borderId="0" xfId="3" applyFont="1" applyAlignment="1">
      <alignment horizontal="left" vertical="center" wrapText="1"/>
    </xf>
    <xf numFmtId="0" fontId="49" fillId="0" borderId="0" xfId="3" applyFont="1" applyAlignment="1">
      <alignment vertical="center" wrapText="1"/>
    </xf>
    <xf numFmtId="0" fontId="41" fillId="0" borderId="0" xfId="3" applyFont="1" applyAlignment="1">
      <alignment horizontal="left" vertical="center"/>
    </xf>
    <xf numFmtId="0" fontId="41" fillId="0" borderId="0" xfId="3" applyFont="1" applyAlignment="1">
      <alignment horizontal="left" vertical="center" wrapText="1"/>
    </xf>
    <xf numFmtId="0" fontId="44" fillId="0" borderId="0" xfId="3" applyFont="1" applyAlignment="1">
      <alignment horizontal="left" vertical="center" wrapText="1"/>
    </xf>
    <xf numFmtId="0" fontId="41" fillId="0" borderId="0" xfId="3" applyFont="1" applyAlignment="1">
      <alignment horizontal="left" vertical="center" wrapText="1"/>
    </xf>
    <xf numFmtId="0" fontId="43" fillId="0" borderId="0" xfId="3" applyFont="1" applyAlignment="1">
      <alignment horizontal="left" vertical="center" wrapText="1"/>
    </xf>
    <xf numFmtId="0" fontId="43" fillId="0" borderId="0" xfId="3" applyFont="1" applyAlignment="1">
      <alignment horizontal="left" vertical="center"/>
    </xf>
    <xf numFmtId="0" fontId="41" fillId="0" borderId="0" xfId="3" applyFont="1" applyAlignment="1">
      <alignment wrapText="1"/>
    </xf>
    <xf numFmtId="0" fontId="41" fillId="0" borderId="0" xfId="3" applyFont="1" applyAlignment="1">
      <alignment horizontal="left" vertical="center" wrapText="1"/>
    </xf>
    <xf numFmtId="0" fontId="32" fillId="0" borderId="0" xfId="0" applyFont="1" applyAlignment="1">
      <alignment horizontal="left" vertical="center" wrapText="1"/>
    </xf>
    <xf numFmtId="0" fontId="38" fillId="0" borderId="0" xfId="0" applyFont="1" applyBorder="1" applyAlignment="1"/>
    <xf numFmtId="0" fontId="50" fillId="0" borderId="0" xfId="0" applyNumberFormat="1" applyFont="1" applyBorder="1" applyAlignment="1">
      <alignment horizontal="center" vertical="center" wrapText="1"/>
    </xf>
    <xf numFmtId="0" fontId="38" fillId="0" borderId="0" xfId="0" applyNumberFormat="1" applyFont="1" applyBorder="1" applyAlignment="1">
      <alignment vertical="center"/>
    </xf>
    <xf numFmtId="0" fontId="40" fillId="0" borderId="0" xfId="0" applyNumberFormat="1" applyFont="1" applyBorder="1" applyAlignment="1">
      <alignment vertical="center"/>
    </xf>
    <xf numFmtId="0" fontId="32" fillId="0" borderId="0" xfId="0" applyFont="1" applyBorder="1" applyAlignment="1">
      <alignment vertical="center"/>
    </xf>
    <xf numFmtId="0"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6" fillId="0" borderId="0" xfId="0" applyFont="1" applyBorder="1" applyAlignment="1">
      <alignment horizontal="left" vertical="center"/>
    </xf>
    <xf numFmtId="0" fontId="22" fillId="9" borderId="0" xfId="0" applyFont="1" applyFill="1" applyAlignment="1">
      <alignment horizontal="left" vertical="center"/>
    </xf>
    <xf numFmtId="0" fontId="0" fillId="9" borderId="0" xfId="0" applyFill="1" applyAlignment="1">
      <alignment horizontal="left" vertical="center"/>
    </xf>
    <xf numFmtId="0" fontId="38" fillId="9"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0" fontId="38" fillId="0" borderId="0" xfId="0" applyFont="1" applyBorder="1" applyAlignment="1">
      <alignment horizontal="left" vertical="center" wrapText="1"/>
    </xf>
    <xf numFmtId="0" fontId="32" fillId="9" borderId="0" xfId="0" applyFont="1" applyFill="1" applyAlignment="1">
      <alignment horizontal="left" vertical="center" wrapText="1"/>
    </xf>
    <xf numFmtId="0" fontId="38" fillId="0" borderId="0" xfId="0" applyNumberFormat="1" applyFont="1" applyBorder="1" applyAlignment="1">
      <alignment horizontal="left" vertical="center" wrapText="1"/>
    </xf>
    <xf numFmtId="0" fontId="32" fillId="0" borderId="0" xfId="0" applyFont="1" applyBorder="1" applyAlignment="1">
      <alignment horizontal="left" vertical="center" wrapText="1"/>
    </xf>
    <xf numFmtId="0" fontId="49" fillId="0" borderId="0" xfId="0" applyFont="1" applyAlignment="1"/>
    <xf numFmtId="0" fontId="41" fillId="0" borderId="0" xfId="3" applyFont="1" applyAlignment="1">
      <alignment horizontal="left" vertical="center" wrapText="1"/>
    </xf>
    <xf numFmtId="0" fontId="45" fillId="0" borderId="0" xfId="3" applyFont="1" applyAlignment="1"/>
    <xf numFmtId="0" fontId="41" fillId="0" borderId="0" xfId="3" applyFont="1" applyFill="1" applyBorder="1" applyAlignment="1">
      <alignment horizontal="center" vertical="top" wrapText="1"/>
    </xf>
    <xf numFmtId="0" fontId="41" fillId="13" borderId="0" xfId="3" applyFont="1" applyFill="1" applyBorder="1" applyAlignment="1">
      <alignment horizontal="left" vertical="center"/>
    </xf>
    <xf numFmtId="0" fontId="41" fillId="0" borderId="0" xfId="3" applyFont="1" applyBorder="1" applyAlignment="1">
      <alignment horizontal="left" vertical="center"/>
    </xf>
    <xf numFmtId="0" fontId="41" fillId="7" borderId="0" xfId="3" applyFont="1" applyFill="1" applyBorder="1" applyAlignment="1">
      <alignment horizontal="left" vertical="center"/>
    </xf>
    <xf numFmtId="0" fontId="41" fillId="0" borderId="0" xfId="3" applyFont="1" applyBorder="1" applyAlignment="1">
      <alignment horizontal="left" vertical="center" wrapText="1"/>
    </xf>
    <xf numFmtId="0" fontId="41" fillId="14" borderId="0" xfId="3" applyFont="1" applyFill="1" applyBorder="1" applyAlignment="1">
      <alignment horizontal="left" vertical="center"/>
    </xf>
    <xf numFmtId="0" fontId="41" fillId="17" borderId="0" xfId="3" applyFont="1" applyFill="1" applyBorder="1" applyAlignment="1">
      <alignment horizontal="left" vertical="center"/>
    </xf>
    <xf numFmtId="0" fontId="41" fillId="0" borderId="50" xfId="3" applyFont="1" applyFill="1" applyBorder="1" applyAlignment="1">
      <alignment horizontal="center" vertical="top" wrapText="1"/>
    </xf>
    <xf numFmtId="0" fontId="41" fillId="0" borderId="51" xfId="3" applyFont="1" applyFill="1" applyBorder="1" applyAlignment="1">
      <alignment horizontal="center" vertical="top" wrapText="1"/>
    </xf>
    <xf numFmtId="0" fontId="41" fillId="16" borderId="0" xfId="3" applyFont="1" applyFill="1" applyBorder="1" applyAlignment="1">
      <alignment horizontal="left" vertical="center"/>
    </xf>
    <xf numFmtId="0" fontId="41" fillId="0" borderId="52" xfId="3" applyFont="1" applyFill="1" applyBorder="1" applyAlignment="1">
      <alignment horizontal="center" vertical="top" wrapText="1"/>
    </xf>
    <xf numFmtId="0" fontId="41" fillId="0" borderId="52" xfId="3" applyFont="1" applyFill="1" applyBorder="1" applyAlignment="1">
      <alignment horizontal="left" vertical="center"/>
    </xf>
    <xf numFmtId="0" fontId="41" fillId="0" borderId="0" xfId="3" applyFont="1" applyFill="1" applyBorder="1" applyAlignment="1">
      <alignment horizontal="left" vertical="center"/>
    </xf>
    <xf numFmtId="0" fontId="41" fillId="0" borderId="0" xfId="3" applyFont="1" applyAlignment="1">
      <alignment horizontal="left" vertical="center" wrapText="1"/>
    </xf>
    <xf numFmtId="0" fontId="32" fillId="0" borderId="0" xfId="0" applyFont="1" applyAlignment="1">
      <alignment horizontal="left" vertical="center" wrapText="1"/>
    </xf>
    <xf numFmtId="0" fontId="64" fillId="0" borderId="0" xfId="0" applyFont="1" applyAlignment="1">
      <alignment vertical="center" wrapText="1"/>
    </xf>
    <xf numFmtId="0" fontId="32" fillId="9" borderId="0" xfId="0" applyFont="1" applyFill="1" applyAlignment="1">
      <alignment horizontal="left" wrapText="1"/>
    </xf>
    <xf numFmtId="0" fontId="32" fillId="0" borderId="0" xfId="0" applyFont="1" applyAlignment="1">
      <alignment horizontal="left" wrapText="1"/>
    </xf>
    <xf numFmtId="0" fontId="66" fillId="0" borderId="0" xfId="0" applyNumberFormat="1" applyFont="1" applyBorder="1" applyAlignment="1"/>
    <xf numFmtId="0" fontId="66" fillId="9" borderId="0" xfId="0" applyFont="1" applyFill="1" applyAlignment="1"/>
    <xf numFmtId="0" fontId="66" fillId="0" borderId="0" xfId="0" applyFont="1" applyAlignment="1"/>
    <xf numFmtId="0" fontId="66" fillId="0" borderId="0" xfId="0" applyFont="1" applyBorder="1" applyAlignment="1"/>
    <xf numFmtId="0" fontId="8" fillId="6" borderId="23" xfId="0" applyFont="1" applyFill="1" applyBorder="1" applyAlignment="1" applyProtection="1">
      <alignment horizontal="center" vertical="center" wrapText="1"/>
    </xf>
    <xf numFmtId="0" fontId="41" fillId="0" borderId="0" xfId="3" applyFont="1" applyAlignment="1">
      <alignment horizontal="left" vertical="center" wrapText="1"/>
    </xf>
    <xf numFmtId="0" fontId="8" fillId="6" borderId="53"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3" xfId="0"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9" fontId="7" fillId="4" borderId="6" xfId="2" applyFont="1" applyFill="1" applyBorder="1" applyAlignment="1" applyProtection="1">
      <alignment horizontal="center" vertical="center"/>
    </xf>
    <xf numFmtId="9" fontId="7" fillId="4" borderId="20" xfId="2"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9" fontId="7" fillId="4" borderId="27" xfId="2" applyFont="1" applyFill="1" applyBorder="1" applyAlignment="1" applyProtection="1">
      <alignment horizontal="center" vertical="center"/>
    </xf>
    <xf numFmtId="0" fontId="41" fillId="0" borderId="0" xfId="3" applyFont="1" applyAlignment="1">
      <alignment horizontal="left" vertical="center" wrapText="1"/>
    </xf>
    <xf numFmtId="0" fontId="69" fillId="0" borderId="56" xfId="3" applyFont="1" applyBorder="1" applyAlignment="1"/>
    <xf numFmtId="0" fontId="70" fillId="0" borderId="56" xfId="0" applyFont="1" applyBorder="1" applyAlignment="1"/>
    <xf numFmtId="0" fontId="49" fillId="0" borderId="0" xfId="3" applyFont="1" applyAlignment="1">
      <alignment horizontal="left" vertical="center"/>
    </xf>
    <xf numFmtId="0" fontId="46" fillId="0" borderId="0" xfId="3" applyFont="1" applyAlignment="1">
      <alignment horizontal="left" vertical="top" wrapText="1"/>
    </xf>
    <xf numFmtId="0" fontId="46" fillId="0" borderId="0" xfId="3" applyFont="1" applyAlignment="1">
      <alignment horizontal="left" vertical="center" wrapText="1"/>
    </xf>
    <xf numFmtId="169" fontId="69" fillId="0" borderId="0" xfId="3" applyNumberFormat="1" applyFont="1" applyAlignment="1">
      <alignment horizontal="left" vertical="center"/>
    </xf>
    <xf numFmtId="0" fontId="41" fillId="0" borderId="0" xfId="3" applyFont="1" applyAlignment="1">
      <alignment horizontal="left" vertical="center" wrapText="1"/>
    </xf>
    <xf numFmtId="0" fontId="43" fillId="0" borderId="0" xfId="3" applyFont="1" applyAlignment="1">
      <alignment horizontal="left"/>
    </xf>
    <xf numFmtId="0" fontId="41" fillId="0" borderId="0" xfId="3" applyFont="1" applyAlignment="1">
      <alignment horizontal="left" vertical="top"/>
    </xf>
    <xf numFmtId="0" fontId="41" fillId="17" borderId="47" xfId="3" applyFont="1" applyFill="1" applyBorder="1" applyAlignment="1">
      <alignment horizontal="left" vertical="center"/>
    </xf>
    <xf numFmtId="0" fontId="41" fillId="17" borderId="30" xfId="3" applyFont="1" applyFill="1" applyBorder="1" applyAlignment="1">
      <alignment horizontal="left" vertical="center"/>
    </xf>
    <xf numFmtId="0" fontId="41" fillId="17" borderId="49" xfId="3" applyFont="1" applyFill="1" applyBorder="1" applyAlignment="1">
      <alignment horizontal="left" vertical="center"/>
    </xf>
    <xf numFmtId="0" fontId="41" fillId="14" borderId="43" xfId="3" applyFont="1" applyFill="1" applyBorder="1" applyAlignment="1">
      <alignment horizontal="left" vertical="center"/>
    </xf>
    <xf numFmtId="0" fontId="41" fillId="14" borderId="45" xfId="3" applyFont="1" applyFill="1" applyBorder="1" applyAlignment="1">
      <alignment horizontal="left" vertical="center"/>
    </xf>
    <xf numFmtId="0" fontId="41" fillId="0" borderId="34" xfId="3" applyFont="1" applyBorder="1" applyAlignment="1">
      <alignment horizontal="left" vertical="center"/>
    </xf>
    <xf numFmtId="0" fontId="41" fillId="0" borderId="35" xfId="3" applyFont="1" applyBorder="1" applyAlignment="1">
      <alignment horizontal="left" vertical="center"/>
    </xf>
    <xf numFmtId="0" fontId="41" fillId="0" borderId="30" xfId="3" applyFont="1" applyBorder="1" applyAlignment="1">
      <alignment horizontal="left" vertical="center" wrapText="1"/>
    </xf>
    <xf numFmtId="0" fontId="41" fillId="0" borderId="30" xfId="3" applyFont="1" applyBorder="1" applyAlignment="1">
      <alignment horizontal="left" vertical="center"/>
    </xf>
    <xf numFmtId="0" fontId="41" fillId="0" borderId="33" xfId="3" applyFont="1" applyBorder="1" applyAlignment="1">
      <alignment horizontal="left" vertical="center"/>
    </xf>
    <xf numFmtId="0" fontId="41" fillId="0" borderId="31" xfId="3" applyFont="1" applyBorder="1" applyAlignment="1">
      <alignment horizontal="left" vertical="center"/>
    </xf>
    <xf numFmtId="0" fontId="41" fillId="0" borderId="32" xfId="3" applyFont="1" applyBorder="1" applyAlignment="1">
      <alignment horizontal="left" vertical="center"/>
    </xf>
    <xf numFmtId="0" fontId="41" fillId="13" borderId="31" xfId="3" applyFont="1" applyFill="1" applyBorder="1" applyAlignment="1">
      <alignment horizontal="left" vertical="center"/>
    </xf>
    <xf numFmtId="0" fontId="41" fillId="13" borderId="30" xfId="3" applyFont="1" applyFill="1" applyBorder="1" applyAlignment="1">
      <alignment horizontal="left" vertical="center"/>
    </xf>
    <xf numFmtId="0" fontId="41" fillId="0" borderId="38" xfId="3" applyFont="1" applyFill="1" applyBorder="1" applyAlignment="1">
      <alignment horizontal="center" vertical="top" wrapText="1"/>
    </xf>
    <xf numFmtId="0" fontId="41" fillId="0" borderId="40" xfId="3" applyFont="1" applyFill="1" applyBorder="1" applyAlignment="1">
      <alignment horizontal="center" vertical="top" wrapText="1"/>
    </xf>
    <xf numFmtId="0" fontId="41" fillId="0" borderId="42" xfId="3" applyFont="1" applyFill="1" applyBorder="1" applyAlignment="1">
      <alignment horizontal="center" vertical="top" wrapText="1"/>
    </xf>
    <xf numFmtId="0" fontId="41" fillId="0" borderId="44" xfId="3" applyFont="1" applyFill="1" applyBorder="1" applyAlignment="1">
      <alignment horizontal="center" vertical="top" wrapText="1"/>
    </xf>
    <xf numFmtId="0" fontId="41" fillId="0" borderId="46" xfId="3" applyFont="1" applyFill="1" applyBorder="1" applyAlignment="1">
      <alignment horizontal="center" vertical="top" wrapText="1"/>
    </xf>
    <xf numFmtId="0" fontId="41" fillId="0" borderId="0" xfId="3" applyFont="1" applyFill="1" applyBorder="1" applyAlignment="1">
      <alignment horizontal="center" vertical="top" wrapText="1"/>
    </xf>
    <xf numFmtId="0" fontId="41" fillId="0" borderId="48" xfId="3" applyFont="1" applyFill="1" applyBorder="1" applyAlignment="1">
      <alignment horizontal="center" vertical="top" wrapText="1"/>
    </xf>
    <xf numFmtId="0" fontId="43" fillId="0" borderId="0" xfId="3" applyFont="1" applyAlignment="1">
      <alignment horizontal="left" vertical="center"/>
    </xf>
    <xf numFmtId="0" fontId="41" fillId="0" borderId="36" xfId="3" applyFont="1" applyFill="1" applyBorder="1" applyAlignment="1">
      <alignment horizontal="center" vertical="top" wrapText="1"/>
    </xf>
    <xf numFmtId="0" fontId="41" fillId="0" borderId="37" xfId="3" applyFont="1" applyFill="1" applyBorder="1" applyAlignment="1">
      <alignment horizontal="center" vertical="top" wrapText="1"/>
    </xf>
    <xf numFmtId="0" fontId="41" fillId="0" borderId="39" xfId="3" applyFont="1" applyBorder="1" applyAlignment="1">
      <alignment horizontal="left" vertical="center" wrapText="1"/>
    </xf>
    <xf numFmtId="0" fontId="41" fillId="0" borderId="39" xfId="3" applyFont="1" applyBorder="1" applyAlignment="1">
      <alignment horizontal="left" vertical="center"/>
    </xf>
    <xf numFmtId="0" fontId="41" fillId="16" borderId="50" xfId="3" applyFont="1" applyFill="1" applyBorder="1" applyAlignment="1">
      <alignment horizontal="left" vertical="center"/>
    </xf>
    <xf numFmtId="0" fontId="41" fillId="18" borderId="51" xfId="3" applyFont="1" applyFill="1" applyBorder="1" applyAlignment="1">
      <alignment horizontal="left" vertical="center"/>
    </xf>
    <xf numFmtId="0" fontId="41" fillId="0" borderId="51" xfId="3" applyFont="1" applyBorder="1" applyAlignment="1">
      <alignment horizontal="left" vertical="center" wrapText="1"/>
    </xf>
    <xf numFmtId="0" fontId="41" fillId="0" borderId="50" xfId="3" applyFont="1" applyBorder="1" applyAlignment="1">
      <alignment horizontal="left" vertical="center" wrapText="1"/>
    </xf>
    <xf numFmtId="0" fontId="41" fillId="0" borderId="49" xfId="3" applyFont="1" applyBorder="1" applyAlignment="1">
      <alignment horizontal="left" vertical="center" wrapText="1"/>
    </xf>
    <xf numFmtId="0" fontId="41" fillId="0" borderId="47" xfId="3" applyFont="1" applyBorder="1" applyAlignment="1">
      <alignment horizontal="left" vertical="center" wrapText="1"/>
    </xf>
    <xf numFmtId="0" fontId="41" fillId="0" borderId="45" xfId="3" applyFont="1" applyBorder="1" applyAlignment="1">
      <alignment horizontal="left" vertical="center"/>
    </xf>
    <xf numFmtId="0" fontId="41" fillId="0" borderId="43" xfId="3" applyFont="1" applyBorder="1" applyAlignment="1">
      <alignment horizontal="left" vertical="center"/>
    </xf>
    <xf numFmtId="0" fontId="43" fillId="0" borderId="0" xfId="3" applyFont="1" applyBorder="1" applyAlignment="1">
      <alignment horizontal="left"/>
    </xf>
    <xf numFmtId="0" fontId="45" fillId="0" borderId="0" xfId="3" applyFont="1" applyBorder="1" applyAlignment="1">
      <alignment horizontal="left"/>
    </xf>
    <xf numFmtId="0" fontId="41" fillId="13" borderId="34" xfId="3" applyFont="1" applyFill="1" applyBorder="1" applyAlignment="1">
      <alignment horizontal="left" vertical="center"/>
    </xf>
    <xf numFmtId="0" fontId="41" fillId="0" borderId="41" xfId="3" applyFont="1" applyBorder="1" applyAlignment="1">
      <alignment horizontal="left" vertical="center" wrapText="1"/>
    </xf>
    <xf numFmtId="0" fontId="41" fillId="0" borderId="41" xfId="3" applyFont="1" applyBorder="1" applyAlignment="1">
      <alignment horizontal="left" vertical="center"/>
    </xf>
    <xf numFmtId="0" fontId="41" fillId="7" borderId="41" xfId="3" applyFont="1" applyFill="1" applyBorder="1" applyAlignment="1">
      <alignment horizontal="left" vertical="center"/>
    </xf>
    <xf numFmtId="0" fontId="41" fillId="7" borderId="39" xfId="3" applyFont="1" applyFill="1" applyBorder="1" applyAlignment="1">
      <alignment horizontal="left" vertical="center"/>
    </xf>
    <xf numFmtId="0" fontId="43" fillId="0" borderId="0" xfId="3" applyFont="1" applyAlignment="1">
      <alignment horizontal="left" vertical="center" wrapText="1"/>
    </xf>
    <xf numFmtId="0" fontId="41" fillId="0" borderId="0" xfId="3" applyFont="1" applyAlignment="1">
      <alignment horizontal="left" vertical="top" wrapText="1"/>
    </xf>
    <xf numFmtId="0" fontId="41" fillId="0" borderId="0" xfId="3" applyFont="1" applyAlignment="1">
      <alignment horizontal="center"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64" fillId="0" borderId="0" xfId="0" applyFont="1" applyBorder="1" applyAlignment="1" applyProtection="1">
      <alignment horizontal="left" vertical="top" wrapText="1"/>
    </xf>
    <xf numFmtId="0" fontId="8" fillId="6" borderId="19"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64" fillId="0" borderId="0" xfId="4" applyFont="1" applyBorder="1" applyAlignment="1" applyProtection="1">
      <alignment horizontal="center" vertical="center" wrapText="1"/>
    </xf>
    <xf numFmtId="0" fontId="41" fillId="0" borderId="0" xfId="0" applyFont="1" applyAlignment="1">
      <alignment horizontal="left" vertical="center" wrapText="1"/>
    </xf>
    <xf numFmtId="0" fontId="41" fillId="0" borderId="0" xfId="0" applyFont="1" applyFill="1" applyAlignment="1">
      <alignment horizontal="left" vertical="center" wrapText="1"/>
    </xf>
    <xf numFmtId="0" fontId="49" fillId="15" borderId="1" xfId="0" applyFont="1" applyFill="1" applyBorder="1" applyAlignment="1">
      <alignment horizontal="left" vertical="center" wrapText="1"/>
    </xf>
    <xf numFmtId="0" fontId="49" fillId="8" borderId="1" xfId="0" applyFont="1" applyFill="1" applyBorder="1" applyAlignment="1">
      <alignment horizontal="left" vertical="center" wrapText="1"/>
    </xf>
    <xf numFmtId="0" fontId="64" fillId="0" borderId="0" xfId="0" applyFont="1" applyAlignment="1">
      <alignment horizontal="center" vertical="center" wrapText="1"/>
    </xf>
    <xf numFmtId="0" fontId="32" fillId="0" borderId="0" xfId="0" applyFont="1" applyAlignment="1">
      <alignment horizontal="left" vertical="center" wrapText="1"/>
    </xf>
    <xf numFmtId="0" fontId="15" fillId="5" borderId="1" xfId="0" applyFont="1" applyFill="1" applyBorder="1" applyAlignment="1">
      <alignment horizontal="center" vertical="center"/>
    </xf>
    <xf numFmtId="0" fontId="64" fillId="0" borderId="0" xfId="0" applyNumberFormat="1" applyFont="1" applyBorder="1" applyAlignment="1">
      <alignment horizontal="center" vertical="center" wrapText="1"/>
    </xf>
    <xf numFmtId="0" fontId="24" fillId="5" borderId="1" xfId="0" applyFont="1" applyFill="1" applyBorder="1" applyAlignment="1">
      <alignment horizontal="center" vertical="center"/>
    </xf>
    <xf numFmtId="0" fontId="38" fillId="0" borderId="0" xfId="0" applyNumberFormat="1" applyFont="1" applyBorder="1" applyAlignment="1">
      <alignment horizontal="left" vertical="center" wrapText="1"/>
    </xf>
    <xf numFmtId="0" fontId="38" fillId="0" borderId="0" xfId="0" applyFont="1" applyBorder="1" applyAlignment="1">
      <alignment horizontal="left" vertical="center" wrapText="1"/>
    </xf>
    <xf numFmtId="0" fontId="24" fillId="5" borderId="10" xfId="0" applyFont="1" applyFill="1" applyBorder="1" applyAlignment="1">
      <alignment horizontal="center"/>
    </xf>
    <xf numFmtId="0" fontId="24" fillId="5" borderId="5" xfId="0" applyFont="1" applyFill="1" applyBorder="1" applyAlignment="1">
      <alignment horizontal="center"/>
    </xf>
    <xf numFmtId="0" fontId="64" fillId="0" borderId="0" xfId="0" applyNumberFormat="1" applyFont="1" applyBorder="1" applyAlignment="1" applyProtection="1">
      <alignment horizontal="center" vertical="center" wrapText="1"/>
      <protection locked="0"/>
    </xf>
    <xf numFmtId="0" fontId="31" fillId="5" borderId="1" xfId="0" applyFont="1" applyFill="1" applyBorder="1" applyAlignment="1">
      <alignment horizontal="center"/>
    </xf>
    <xf numFmtId="0" fontId="23" fillId="5" borderId="1"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10" xfId="0" applyFont="1" applyFill="1" applyBorder="1" applyAlignment="1">
      <alignment horizontal="center" wrapText="1"/>
    </xf>
    <xf numFmtId="0" fontId="23" fillId="5" borderId="5" xfId="0" applyFont="1" applyFill="1" applyBorder="1" applyAlignment="1">
      <alignment horizontal="center" wrapText="1"/>
    </xf>
    <xf numFmtId="0" fontId="23" fillId="5" borderId="10" xfId="0" applyFont="1" applyFill="1" applyBorder="1" applyAlignment="1">
      <alignment horizontal="center"/>
    </xf>
    <xf numFmtId="0" fontId="23" fillId="5" borderId="5" xfId="0" applyFont="1" applyFill="1" applyBorder="1" applyAlignment="1">
      <alignment horizontal="center"/>
    </xf>
    <xf numFmtId="0" fontId="36" fillId="5" borderId="10"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64" fillId="0" borderId="8" xfId="0" applyNumberFormat="1" applyFont="1" applyBorder="1" applyAlignment="1">
      <alignment horizontal="center" wrapText="1"/>
    </xf>
    <xf numFmtId="0" fontId="39" fillId="5" borderId="10"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5"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5" xfId="0" applyFont="1" applyFill="1" applyBorder="1" applyAlignment="1">
      <alignment horizontal="center" vertical="center"/>
    </xf>
    <xf numFmtId="0" fontId="9" fillId="5" borderId="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55" fillId="0" borderId="18" xfId="0" applyFont="1" applyBorder="1" applyAlignment="1">
      <alignment horizontal="center" vertical="center" wrapText="1"/>
    </xf>
    <xf numFmtId="0" fontId="34" fillId="4" borderId="1" xfId="0" applyFont="1" applyFill="1" applyBorder="1" applyAlignment="1">
      <alignment horizontal="center" vertical="center"/>
    </xf>
    <xf numFmtId="0" fontId="34" fillId="4" borderId="4"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8" fillId="6" borderId="8" xfId="0" applyFont="1" applyFill="1" applyBorder="1" applyAlignment="1">
      <alignment horizontal="center"/>
    </xf>
    <xf numFmtId="0" fontId="8" fillId="6" borderId="10" xfId="0" applyNumberFormat="1" applyFont="1" applyFill="1" applyBorder="1" applyAlignment="1">
      <alignment horizontal="center" vertical="center"/>
    </xf>
    <xf numFmtId="0" fontId="8" fillId="6" borderId="4" xfId="0" applyNumberFormat="1" applyFont="1" applyFill="1" applyBorder="1" applyAlignment="1">
      <alignment horizontal="center" vertical="center"/>
    </xf>
    <xf numFmtId="0" fontId="8" fillId="6" borderId="5" xfId="0" applyNumberFormat="1" applyFont="1" applyFill="1" applyBorder="1" applyAlignment="1">
      <alignment horizontal="center" vertical="center"/>
    </xf>
    <xf numFmtId="0" fontId="8" fillId="6" borderId="12" xfId="0" applyFont="1" applyFill="1" applyBorder="1" applyAlignment="1">
      <alignment horizontal="center"/>
    </xf>
    <xf numFmtId="0" fontId="12" fillId="3" borderId="10" xfId="0" applyNumberFormat="1" applyFont="1" applyFill="1" applyBorder="1" applyAlignment="1">
      <alignment horizontal="center" vertical="center"/>
    </xf>
    <xf numFmtId="0" fontId="12" fillId="3" borderId="4"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2" fillId="3" borderId="12"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14" xfId="0" applyNumberFormat="1" applyFont="1" applyFill="1" applyBorder="1" applyAlignment="1">
      <alignment horizontal="center" vertical="center"/>
    </xf>
    <xf numFmtId="0" fontId="8" fillId="6" borderId="12" xfId="0" applyNumberFormat="1" applyFont="1" applyFill="1" applyBorder="1" applyAlignment="1">
      <alignment horizontal="center" vertical="center"/>
    </xf>
    <xf numFmtId="0" fontId="8" fillId="6" borderId="8"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8" fillId="6"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0" fontId="9" fillId="10" borderId="1" xfId="0" applyFont="1" applyFill="1" applyBorder="1" applyAlignment="1">
      <alignment horizontal="center" vertical="center"/>
    </xf>
    <xf numFmtId="0" fontId="56" fillId="0" borderId="1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8" xfId="0" applyFont="1" applyBorder="1" applyAlignment="1">
      <alignment horizontal="center" wrapText="1"/>
    </xf>
    <xf numFmtId="0" fontId="56" fillId="0" borderId="12" xfId="0" applyFont="1" applyBorder="1" applyAlignment="1">
      <alignment horizontal="center" wrapText="1"/>
    </xf>
    <xf numFmtId="0" fontId="35" fillId="0" borderId="18" xfId="0" applyFont="1" applyBorder="1" applyAlignment="1">
      <alignment horizontal="center" vertical="center" wrapText="1"/>
    </xf>
  </cellXfs>
  <cellStyles count="5">
    <cellStyle name="Comma" xfId="1" builtinId="3"/>
    <cellStyle name="Hyperlink" xfId="4" builtinId="8"/>
    <cellStyle name="Normal" xfId="0" builtinId="0"/>
    <cellStyle name="Normal 2"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A8A8A8"/>
      <rgbColor rgb="00000000"/>
      <rgbColor rgb="00C00000"/>
      <rgbColor rgb="00AAAAAA"/>
      <rgbColor rgb="00FFFFFF"/>
      <rgbColor rgb="00000000"/>
      <rgbColor rgb="00366092"/>
      <rgbColor rgb="00C0504D"/>
      <rgbColor rgb="0076923C"/>
      <rgbColor rgb="002E5D97"/>
      <rgbColor rgb="003A7BCA"/>
      <rgbColor rgb="009A2E2B"/>
      <rgbColor rgb="00CE3B37"/>
      <rgbColor rgb="00759436"/>
      <rgbColor rgb="009CC645"/>
      <rgbColor rgb="005D427E"/>
      <rgbColor rgb="007B56A8"/>
      <rgbColor rgb="00FF0000"/>
      <rgbColor rgb="0000B050"/>
      <rgbColor rgb="00FFFF00"/>
      <rgbColor rgb="007030A0"/>
      <rgbColor rgb="000070C0"/>
      <rgbColor rgb="00E36C09"/>
      <rgbColor rgb="0066FF66"/>
      <rgbColor rgb="0017365D"/>
      <rgbColor rgb="00FFC000"/>
      <rgbColor rgb="00CCC0D9"/>
      <rgbColor rgb="00FFDB4F"/>
      <rgbColor rgb="00D8D8D8"/>
      <rgbColor rgb="0000B0F0"/>
      <rgbColor rgb="007F7F7F"/>
      <rgbColor rgb="00FFFFCC"/>
      <rgbColor rgb="00595959"/>
      <rgbColor rgb="00262626"/>
      <rgbColor rgb="00F2F2F2"/>
      <rgbColor rgb="007F7F7F"/>
      <rgbColor rgb="003F3F3F"/>
      <rgbColor rgb="00A5A5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FFFFCC"/>
      <color rgb="FFCC00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lgn="ctr">
              <a:defRPr sz="1200"/>
            </a:pPr>
            <a:r>
              <a:rPr lang="en-US" sz="1200"/>
              <a:t>2A. Exits to Permanent</a:t>
            </a:r>
            <a:r>
              <a:rPr lang="en-US" sz="1200" baseline="0"/>
              <a:t> Housing</a:t>
            </a:r>
          </a:p>
          <a:p>
            <a:pPr algn="ctr">
              <a:defRPr sz="1200"/>
            </a:pPr>
            <a:r>
              <a:rPr lang="en-US" sz="1200"/>
              <a:t>Single</a:t>
            </a:r>
            <a:r>
              <a:rPr lang="en-US" sz="1200" baseline="0"/>
              <a:t> Adults</a:t>
            </a:r>
            <a:endParaRPr lang="en-US" sz="1200"/>
          </a:p>
        </c:rich>
      </c:tx>
      <c:overlay val="0"/>
    </c:title>
    <c:autoTitleDeleted val="0"/>
    <c:plotArea>
      <c:layout>
        <c:manualLayout>
          <c:layoutTarget val="inner"/>
          <c:xMode val="edge"/>
          <c:yMode val="edge"/>
          <c:x val="8.835644704338734E-2"/>
          <c:y val="0.24458245558335837"/>
          <c:w val="0.88027692444481953"/>
          <c:h val="0.61742548938220709"/>
        </c:manualLayout>
      </c:layout>
      <c:barChart>
        <c:barDir val="col"/>
        <c:grouping val="clustered"/>
        <c:varyColors val="0"/>
        <c:ser>
          <c:idx val="0"/>
          <c:order val="0"/>
          <c:tx>
            <c:strRef>
              <c:f>Formulas!$CI$10</c:f>
              <c:strCache>
                <c:ptCount val="1"/>
                <c:pt idx="0">
                  <c:v>Exits to PH - Adult Only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Formulas!$CH$11:$CH$13</c:f>
              <c:strCache>
                <c:ptCount val="3"/>
                <c:pt idx="0">
                  <c:v>Emergency Shelters</c:v>
                </c:pt>
                <c:pt idx="1">
                  <c:v>Transitional Housing</c:v>
                </c:pt>
                <c:pt idx="2">
                  <c:v>Rapid Re-Housing</c:v>
                </c:pt>
              </c:strCache>
            </c:strRef>
          </c:cat>
          <c:val>
            <c:numRef>
              <c:f>Formulas!$CI$11:$CI$13</c:f>
              <c:numCache>
                <c:formatCode>General</c:formatCode>
                <c:ptCount val="3"/>
                <c:pt idx="0">
                  <c:v>265</c:v>
                </c:pt>
                <c:pt idx="1">
                  <c:v>98</c:v>
                </c:pt>
                <c:pt idx="2">
                  <c:v>112</c:v>
                </c:pt>
              </c:numCache>
            </c:numRef>
          </c:val>
        </c:ser>
        <c:dLbls>
          <c:showLegendKey val="0"/>
          <c:showVal val="1"/>
          <c:showCatName val="0"/>
          <c:showSerName val="0"/>
          <c:showPercent val="0"/>
          <c:showBubbleSize val="0"/>
        </c:dLbls>
        <c:gapWidth val="50"/>
        <c:axId val="604043064"/>
        <c:axId val="559014032"/>
      </c:barChart>
      <c:catAx>
        <c:axId val="604043064"/>
        <c:scaling>
          <c:orientation val="minMax"/>
        </c:scaling>
        <c:delete val="0"/>
        <c:axPos val="b"/>
        <c:numFmt formatCode="General" sourceLinked="0"/>
        <c:majorTickMark val="out"/>
        <c:minorTickMark val="none"/>
        <c:tickLblPos val="nextTo"/>
        <c:crossAx val="559014032"/>
        <c:crosses val="autoZero"/>
        <c:auto val="1"/>
        <c:lblAlgn val="ctr"/>
        <c:lblOffset val="100"/>
        <c:noMultiLvlLbl val="0"/>
      </c:catAx>
      <c:valAx>
        <c:axId val="559014032"/>
        <c:scaling>
          <c:orientation val="minMax"/>
        </c:scaling>
        <c:delete val="0"/>
        <c:axPos val="l"/>
        <c:majorGridlines/>
        <c:numFmt formatCode="General" sourceLinked="1"/>
        <c:majorTickMark val="out"/>
        <c:minorTickMark val="none"/>
        <c:tickLblPos val="nextTo"/>
        <c:crossAx val="604043064"/>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4A. Annual Investments</a:t>
            </a:r>
          </a:p>
          <a:p>
            <a:pPr algn="r">
              <a:defRPr sz="1400"/>
            </a:pPr>
            <a:r>
              <a:rPr lang="en-US" sz="1400"/>
              <a:t>Single Adults</a:t>
            </a:r>
          </a:p>
        </c:rich>
      </c:tx>
      <c:layout>
        <c:manualLayout>
          <c:xMode val="edge"/>
          <c:yMode val="edge"/>
          <c:x val="0.59333333333333338"/>
          <c:y val="9.2592592592593385E-3"/>
        </c:manualLayout>
      </c:layout>
      <c:overlay val="0"/>
    </c:title>
    <c:autoTitleDeleted val="0"/>
    <c:plotArea>
      <c:layout>
        <c:manualLayout>
          <c:layoutTarget val="inner"/>
          <c:xMode val="edge"/>
          <c:yMode val="edge"/>
          <c:x val="3.7789807524060186E-2"/>
          <c:y val="0.13675488480606776"/>
          <c:w val="0.49971369203849531"/>
          <c:h val="0.83285615339749264"/>
        </c:manualLayout>
      </c:layout>
      <c:pieChart>
        <c:varyColors val="1"/>
        <c:ser>
          <c:idx val="0"/>
          <c:order val="0"/>
          <c:tx>
            <c:strRef>
              <c:f>Formulas!$CN$3</c:f>
              <c:strCache>
                <c:ptCount val="1"/>
                <c:pt idx="0">
                  <c:v>Investments - Adult Only HHs</c:v>
                </c:pt>
              </c:strCache>
            </c:strRef>
          </c:tx>
          <c:dLbls>
            <c:spPr>
              <a:noFill/>
              <a:ln>
                <a:noFill/>
              </a:ln>
              <a:effectLst/>
            </c:spPr>
            <c:txPr>
              <a:bodyPr/>
              <a:lstStyle/>
              <a:p>
                <a:pPr>
                  <a:defRPr sz="14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Formulas!$CM$4:$CM$7</c:f>
              <c:strCache>
                <c:ptCount val="4"/>
                <c:pt idx="0">
                  <c:v>Emergency Shelter</c:v>
                </c:pt>
                <c:pt idx="1">
                  <c:v>Transitional Housing</c:v>
                </c:pt>
                <c:pt idx="2">
                  <c:v>Rapid Re-Housing</c:v>
                </c:pt>
                <c:pt idx="3">
                  <c:v>Permanent Supportive Housing</c:v>
                </c:pt>
              </c:strCache>
            </c:strRef>
          </c:cat>
          <c:val>
            <c:numRef>
              <c:f>Formulas!$CN$4:$CN$7</c:f>
              <c:numCache>
                <c:formatCode>"$"#,##0</c:formatCode>
                <c:ptCount val="4"/>
                <c:pt idx="0">
                  <c:v>2000000</c:v>
                </c:pt>
                <c:pt idx="1">
                  <c:v>1800000</c:v>
                </c:pt>
                <c:pt idx="2">
                  <c:v>645000</c:v>
                </c:pt>
                <c:pt idx="3">
                  <c:v>2500000</c:v>
                </c:pt>
              </c:numCache>
            </c:numRef>
          </c:val>
        </c:ser>
        <c:dLbls>
          <c:showLegendKey val="0"/>
          <c:showVal val="1"/>
          <c:showCatName val="0"/>
          <c:showSerName val="0"/>
          <c:showPercent val="0"/>
          <c:showBubbleSize val="0"/>
          <c:showLeaderLines val="1"/>
        </c:dLbls>
        <c:firstSliceAng val="247"/>
      </c:pieChart>
    </c:plotArea>
    <c:legend>
      <c:legendPos val="r"/>
      <c:layout>
        <c:manualLayout>
          <c:xMode val="edge"/>
          <c:yMode val="edge"/>
          <c:x val="0.58084864391951063"/>
          <c:y val="0.70056321084864359"/>
          <c:w val="0.41637357830271465"/>
          <c:h val="0.29943678915135791"/>
        </c:manualLayout>
      </c:layout>
      <c:overlay val="0"/>
    </c:legend>
    <c:plotVisOnly val="1"/>
    <c:dispBlanksAs val="zero"/>
    <c:showDLblsOverMax val="0"/>
  </c:chart>
  <c:spPr>
    <a:solidFill>
      <a:srgbClr val="C0504D">
        <a:lumMod val="20000"/>
        <a:lumOff val="80000"/>
        <a:alpha val="25000"/>
      </a:srgbClr>
    </a:solidFill>
  </c:spPr>
  <c:printSettings>
    <c:headerFooter/>
    <c:pageMargins b="0.75000000000000555" l="0.70000000000000062" r="0.70000000000000062" t="0.750000000000005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4B. Annual</a:t>
            </a:r>
            <a:r>
              <a:rPr lang="en-US" sz="1400" baseline="0"/>
              <a:t> </a:t>
            </a:r>
            <a:r>
              <a:rPr lang="en-US" sz="1400"/>
              <a:t>Investments </a:t>
            </a:r>
          </a:p>
          <a:p>
            <a:pPr algn="r">
              <a:defRPr sz="1400"/>
            </a:pPr>
            <a:r>
              <a:rPr lang="en-US" sz="1400"/>
              <a:t>Family Households</a:t>
            </a:r>
          </a:p>
        </c:rich>
      </c:tx>
      <c:layout>
        <c:manualLayout>
          <c:xMode val="edge"/>
          <c:yMode val="edge"/>
          <c:x val="0.59888888888888892"/>
          <c:y val="9.2592592592593385E-3"/>
        </c:manualLayout>
      </c:layout>
      <c:overlay val="0"/>
    </c:title>
    <c:autoTitleDeleted val="0"/>
    <c:plotArea>
      <c:layout>
        <c:manualLayout>
          <c:layoutTarget val="inner"/>
          <c:xMode val="edge"/>
          <c:yMode val="edge"/>
          <c:x val="3.7789807524060186E-2"/>
          <c:y val="0.13212525517643744"/>
          <c:w val="0.49971369203849531"/>
          <c:h val="0.83285615339749264"/>
        </c:manualLayout>
      </c:layout>
      <c:pieChart>
        <c:varyColors val="1"/>
        <c:ser>
          <c:idx val="0"/>
          <c:order val="0"/>
          <c:tx>
            <c:strRef>
              <c:f>Formulas!$CO$3</c:f>
              <c:strCache>
                <c:ptCount val="1"/>
                <c:pt idx="0">
                  <c:v>Investements - Family HHs</c:v>
                </c:pt>
              </c:strCache>
            </c:strRef>
          </c:tx>
          <c:dLbls>
            <c:spPr>
              <a:noFill/>
              <a:ln>
                <a:noFill/>
              </a:ln>
              <a:effectLst/>
            </c:spPr>
            <c:txPr>
              <a:bodyPr/>
              <a:lstStyle/>
              <a:p>
                <a:pPr>
                  <a:defRPr sz="14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Formulas!$CM$4:$CM$7</c:f>
              <c:strCache>
                <c:ptCount val="4"/>
                <c:pt idx="0">
                  <c:v>Emergency Shelter</c:v>
                </c:pt>
                <c:pt idx="1">
                  <c:v>Transitional Housing</c:v>
                </c:pt>
                <c:pt idx="2">
                  <c:v>Rapid Re-Housing</c:v>
                </c:pt>
                <c:pt idx="3">
                  <c:v>Permanent Supportive Housing</c:v>
                </c:pt>
              </c:strCache>
            </c:strRef>
          </c:cat>
          <c:val>
            <c:numRef>
              <c:f>Formulas!$CO$4:$CO$7</c:f>
              <c:numCache>
                <c:formatCode>"$"#,##0</c:formatCode>
                <c:ptCount val="4"/>
                <c:pt idx="0">
                  <c:v>1200000</c:v>
                </c:pt>
                <c:pt idx="1">
                  <c:v>3000000</c:v>
                </c:pt>
                <c:pt idx="2">
                  <c:v>850000</c:v>
                </c:pt>
                <c:pt idx="3">
                  <c:v>1500000</c:v>
                </c:pt>
              </c:numCache>
            </c:numRef>
          </c:val>
        </c:ser>
        <c:dLbls>
          <c:showLegendKey val="0"/>
          <c:showVal val="1"/>
          <c:showCatName val="0"/>
          <c:showSerName val="0"/>
          <c:showPercent val="0"/>
          <c:showBubbleSize val="0"/>
          <c:showLeaderLines val="1"/>
        </c:dLbls>
        <c:firstSliceAng val="160"/>
      </c:pieChart>
    </c:plotArea>
    <c:legend>
      <c:legendPos val="r"/>
      <c:layout>
        <c:manualLayout>
          <c:xMode val="edge"/>
          <c:yMode val="edge"/>
          <c:x val="0.57529308836395454"/>
          <c:y val="0.71908172936716241"/>
          <c:w val="0.42192913385826952"/>
          <c:h val="0.27468358121901687"/>
        </c:manualLayout>
      </c:layout>
      <c:overlay val="0"/>
    </c:legend>
    <c:plotVisOnly val="1"/>
    <c:dispBlanksAs val="zero"/>
    <c:showDLblsOverMax val="0"/>
  </c:chart>
  <c:spPr>
    <a:solidFill>
      <a:srgbClr val="FFFFCC">
        <a:alpha val="25000"/>
      </a:srgbClr>
    </a:solidFill>
  </c:spPr>
  <c:printSettings>
    <c:headerFooter/>
    <c:pageMargins b="0.75000000000000577" l="0.70000000000000062" r="0.70000000000000062" t="0.750000000000005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400"/>
            </a:pPr>
            <a:r>
              <a:rPr lang="en-US" sz="1400"/>
              <a:t>4C. Annual Investments</a:t>
            </a:r>
          </a:p>
          <a:p>
            <a:pPr algn="r">
              <a:defRPr sz="1400"/>
            </a:pPr>
            <a:r>
              <a:rPr lang="en-US" sz="1400"/>
              <a:t>All Households</a:t>
            </a:r>
          </a:p>
        </c:rich>
      </c:tx>
      <c:layout>
        <c:manualLayout>
          <c:xMode val="edge"/>
          <c:yMode val="edge"/>
          <c:x val="0.60166666666666668"/>
          <c:y val="9.2592592592593385E-3"/>
        </c:manualLayout>
      </c:layout>
      <c:overlay val="0"/>
    </c:title>
    <c:autoTitleDeleted val="0"/>
    <c:plotArea>
      <c:layout>
        <c:manualLayout>
          <c:layoutTarget val="inner"/>
          <c:xMode val="edge"/>
          <c:yMode val="edge"/>
          <c:x val="5.445647419072721E-2"/>
          <c:y val="0.13212525517643744"/>
          <c:w val="0.49971369203849531"/>
          <c:h val="0.83285615339749264"/>
        </c:manualLayout>
      </c:layout>
      <c:pieChart>
        <c:varyColors val="1"/>
        <c:ser>
          <c:idx val="0"/>
          <c:order val="0"/>
          <c:tx>
            <c:strRef>
              <c:f>Formulas!$CP$3</c:f>
              <c:strCache>
                <c:ptCount val="1"/>
                <c:pt idx="0">
                  <c:v>Investments - All HHs</c:v>
                </c:pt>
              </c:strCache>
            </c:strRef>
          </c:tx>
          <c:dLbls>
            <c:spPr>
              <a:noFill/>
              <a:ln>
                <a:noFill/>
              </a:ln>
              <a:effectLst/>
            </c:spPr>
            <c:txPr>
              <a:bodyPr/>
              <a:lstStyle/>
              <a:p>
                <a:pPr>
                  <a:defRPr sz="14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Formulas!$CM$4:$CM$7</c:f>
              <c:strCache>
                <c:ptCount val="4"/>
                <c:pt idx="0">
                  <c:v>Emergency Shelter</c:v>
                </c:pt>
                <c:pt idx="1">
                  <c:v>Transitional Housing</c:v>
                </c:pt>
                <c:pt idx="2">
                  <c:v>Rapid Re-Housing</c:v>
                </c:pt>
                <c:pt idx="3">
                  <c:v>Permanent Supportive Housing</c:v>
                </c:pt>
              </c:strCache>
            </c:strRef>
          </c:cat>
          <c:val>
            <c:numRef>
              <c:f>Formulas!$CP$4:$CP$7</c:f>
              <c:numCache>
                <c:formatCode>"$"#,##0</c:formatCode>
                <c:ptCount val="4"/>
                <c:pt idx="0">
                  <c:v>3200000</c:v>
                </c:pt>
                <c:pt idx="1">
                  <c:v>4800000</c:v>
                </c:pt>
                <c:pt idx="2">
                  <c:v>1495000</c:v>
                </c:pt>
                <c:pt idx="3">
                  <c:v>4000000</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0.57807086614173264"/>
          <c:y val="0.70982247010790323"/>
          <c:w val="0.41915135608048976"/>
          <c:h val="0.28394284047827356"/>
        </c:manualLayout>
      </c:layout>
      <c:overlay val="0"/>
    </c:legend>
    <c:plotVisOnly val="1"/>
    <c:dispBlanksAs val="zero"/>
    <c:showDLblsOverMax val="0"/>
  </c:chart>
  <c:spPr>
    <a:solidFill>
      <a:sysClr val="window" lastClr="FFFFFF">
        <a:lumMod val="95000"/>
        <a:alpha val="25000"/>
      </a:sysClr>
    </a:solidFill>
  </c:spPr>
  <c:printSettings>
    <c:headerFooter/>
    <c:pageMargins b="0.750000000000006" l="0.70000000000000062" r="0.70000000000000062" t="0.75000000000000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5A. Cost Per Exit</a:t>
            </a:r>
          </a:p>
          <a:p>
            <a:pPr>
              <a:defRPr sz="1400"/>
            </a:pPr>
            <a:r>
              <a:rPr lang="en-US" sz="1400"/>
              <a:t>Single</a:t>
            </a:r>
            <a:r>
              <a:rPr lang="en-US" sz="1400" baseline="0"/>
              <a:t> Adults</a:t>
            </a:r>
            <a:endParaRPr lang="en-US" sz="1400"/>
          </a:p>
        </c:rich>
      </c:tx>
      <c:overlay val="0"/>
    </c:title>
    <c:autoTitleDeleted val="0"/>
    <c:plotArea>
      <c:layout/>
      <c:barChart>
        <c:barDir val="col"/>
        <c:grouping val="clustered"/>
        <c:varyColors val="0"/>
        <c:ser>
          <c:idx val="0"/>
          <c:order val="0"/>
          <c:tx>
            <c:strRef>
              <c:f>Formulas!$CN$11</c:f>
              <c:strCache>
                <c:ptCount val="1"/>
                <c:pt idx="0">
                  <c:v>Emergency Shelter</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Formulas!$CO$11:$CP$11</c:f>
              <c:numCache>
                <c:formatCode>"$"#,##0.00</c:formatCode>
                <c:ptCount val="2"/>
                <c:pt idx="0">
                  <c:v>1290.3225806451612</c:v>
                </c:pt>
                <c:pt idx="1">
                  <c:v>7547.1698113207549</c:v>
                </c:pt>
              </c:numCache>
            </c:numRef>
          </c:val>
        </c:ser>
        <c:ser>
          <c:idx val="1"/>
          <c:order val="1"/>
          <c:tx>
            <c:strRef>
              <c:f>Formulas!$CN$12</c:f>
              <c:strCache>
                <c:ptCount val="1"/>
                <c:pt idx="0">
                  <c:v>Transitional Housing</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Formulas!$CO$12:$CP$12</c:f>
              <c:numCache>
                <c:formatCode>"$"#,##0.00</c:formatCode>
                <c:ptCount val="2"/>
                <c:pt idx="0">
                  <c:v>7659.5744680851067</c:v>
                </c:pt>
                <c:pt idx="1">
                  <c:v>18367.34693877551</c:v>
                </c:pt>
              </c:numCache>
            </c:numRef>
          </c:val>
        </c:ser>
        <c:ser>
          <c:idx val="2"/>
          <c:order val="2"/>
          <c:tx>
            <c:strRef>
              <c:f>Formulas!$CN$13</c:f>
              <c:strCache>
                <c:ptCount val="1"/>
                <c:pt idx="0">
                  <c:v>Rapid Re-Housing</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Formulas!$CO$13:$CP$13</c:f>
              <c:numCache>
                <c:formatCode>"$"#,##0.00</c:formatCode>
                <c:ptCount val="2"/>
                <c:pt idx="0">
                  <c:v>4300</c:v>
                </c:pt>
                <c:pt idx="1">
                  <c:v>5758.9285714285716</c:v>
                </c:pt>
              </c:numCache>
            </c:numRef>
          </c:val>
        </c:ser>
        <c:dLbls>
          <c:showLegendKey val="0"/>
          <c:showVal val="1"/>
          <c:showCatName val="0"/>
          <c:showSerName val="0"/>
          <c:showPercent val="0"/>
          <c:showBubbleSize val="0"/>
        </c:dLbls>
        <c:gapWidth val="75"/>
        <c:axId val="604261992"/>
        <c:axId val="554674176"/>
      </c:barChart>
      <c:catAx>
        <c:axId val="604261992"/>
        <c:scaling>
          <c:orientation val="minMax"/>
        </c:scaling>
        <c:delete val="0"/>
        <c:axPos val="b"/>
        <c:numFmt formatCode="General" sourceLinked="0"/>
        <c:majorTickMark val="none"/>
        <c:minorTickMark val="none"/>
        <c:tickLblPos val="nextTo"/>
        <c:crossAx val="554674176"/>
        <c:crosses val="autoZero"/>
        <c:auto val="1"/>
        <c:lblAlgn val="ctr"/>
        <c:lblOffset val="100"/>
        <c:noMultiLvlLbl val="0"/>
      </c:catAx>
      <c:valAx>
        <c:axId val="554674176"/>
        <c:scaling>
          <c:orientation val="minMax"/>
        </c:scaling>
        <c:delete val="0"/>
        <c:axPos val="l"/>
        <c:majorGridlines/>
        <c:numFmt formatCode="&quot;$&quot;#,##0" sourceLinked="0"/>
        <c:majorTickMark val="none"/>
        <c:minorTickMark val="none"/>
        <c:tickLblPos val="nextTo"/>
        <c:spPr>
          <a:ln w="9525">
            <a:noFill/>
          </a:ln>
        </c:spPr>
        <c:crossAx val="604261992"/>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25000"/>
      </a:srgbClr>
    </a:solidFill>
  </c:spPr>
  <c:printSettings>
    <c:headerFooter/>
    <c:pageMargins b="0.75000000000000555" l="0.70000000000000062" r="0.70000000000000062" t="0.750000000000005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5B. Cost Per Exit</a:t>
            </a:r>
          </a:p>
          <a:p>
            <a:pPr>
              <a:defRPr sz="1400"/>
            </a:pPr>
            <a:r>
              <a:rPr lang="en-US" sz="1400"/>
              <a:t>Family </a:t>
            </a:r>
            <a:r>
              <a:rPr lang="en-US" sz="1400" baseline="0"/>
              <a:t>Households</a:t>
            </a:r>
            <a:endParaRPr lang="en-US" sz="1400"/>
          </a:p>
        </c:rich>
      </c:tx>
      <c:overlay val="0"/>
    </c:title>
    <c:autoTitleDeleted val="0"/>
    <c:plotArea>
      <c:layout/>
      <c:barChart>
        <c:barDir val="col"/>
        <c:grouping val="clustered"/>
        <c:varyColors val="0"/>
        <c:ser>
          <c:idx val="0"/>
          <c:order val="0"/>
          <c:tx>
            <c:strRef>
              <c:f>Formulas!$CN$18</c:f>
              <c:strCache>
                <c:ptCount val="1"/>
                <c:pt idx="0">
                  <c:v>Emergency Shelter</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Formulas!$CO$18:$CP$18</c:f>
              <c:numCache>
                <c:formatCode>"$"#,##0.00</c:formatCode>
                <c:ptCount val="2"/>
                <c:pt idx="0">
                  <c:v>2790.6976744186045</c:v>
                </c:pt>
                <c:pt idx="1">
                  <c:v>8759.1240875912408</c:v>
                </c:pt>
              </c:numCache>
            </c:numRef>
          </c:val>
        </c:ser>
        <c:ser>
          <c:idx val="1"/>
          <c:order val="1"/>
          <c:tx>
            <c:strRef>
              <c:f>Formulas!$CN$19</c:f>
              <c:strCache>
                <c:ptCount val="1"/>
                <c:pt idx="0">
                  <c:v>Transitional Housing</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Formulas!$CO$19:$CP$19</c:f>
              <c:numCache>
                <c:formatCode>"$"#,##0.00</c:formatCode>
                <c:ptCount val="2"/>
                <c:pt idx="0">
                  <c:v>10526.315789473685</c:v>
                </c:pt>
                <c:pt idx="1">
                  <c:v>18987.3417721519</c:v>
                </c:pt>
              </c:numCache>
            </c:numRef>
          </c:val>
        </c:ser>
        <c:ser>
          <c:idx val="2"/>
          <c:order val="2"/>
          <c:tx>
            <c:strRef>
              <c:f>Formulas!$CN$20</c:f>
              <c:strCache>
                <c:ptCount val="1"/>
                <c:pt idx="0">
                  <c:v>Rapid Re-Housing</c:v>
                </c:pt>
              </c:strCache>
            </c:strRef>
          </c:tx>
          <c:invertIfNegative val="0"/>
          <c:dLbls>
            <c:numFmt formatCode="&quot;$&quot;#,###;;;" sourceLinked="0"/>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Formulas!$CO$20:$CP$20</c:f>
              <c:numCache>
                <c:formatCode>"$"#,##0.00</c:formatCode>
                <c:ptCount val="2"/>
                <c:pt idx="0">
                  <c:v>3090.909090909091</c:v>
                </c:pt>
                <c:pt idx="1">
                  <c:v>3617.0212765957449</c:v>
                </c:pt>
              </c:numCache>
            </c:numRef>
          </c:val>
        </c:ser>
        <c:dLbls>
          <c:showLegendKey val="0"/>
          <c:showVal val="1"/>
          <c:showCatName val="0"/>
          <c:showSerName val="0"/>
          <c:showPercent val="0"/>
          <c:showBubbleSize val="0"/>
        </c:dLbls>
        <c:gapWidth val="75"/>
        <c:axId val="554671432"/>
        <c:axId val="554674568"/>
      </c:barChart>
      <c:catAx>
        <c:axId val="554671432"/>
        <c:scaling>
          <c:orientation val="minMax"/>
        </c:scaling>
        <c:delete val="0"/>
        <c:axPos val="b"/>
        <c:numFmt formatCode="General" sourceLinked="0"/>
        <c:majorTickMark val="none"/>
        <c:minorTickMark val="none"/>
        <c:tickLblPos val="nextTo"/>
        <c:crossAx val="554674568"/>
        <c:crosses val="autoZero"/>
        <c:auto val="1"/>
        <c:lblAlgn val="ctr"/>
        <c:lblOffset val="100"/>
        <c:noMultiLvlLbl val="0"/>
      </c:catAx>
      <c:valAx>
        <c:axId val="554674568"/>
        <c:scaling>
          <c:orientation val="minMax"/>
        </c:scaling>
        <c:delete val="0"/>
        <c:axPos val="l"/>
        <c:majorGridlines/>
        <c:numFmt formatCode="&quot;$&quot;#,##0" sourceLinked="0"/>
        <c:majorTickMark val="none"/>
        <c:minorTickMark val="none"/>
        <c:tickLblPos val="nextTo"/>
        <c:spPr>
          <a:ln w="9525">
            <a:noFill/>
          </a:ln>
        </c:spPr>
        <c:crossAx val="554671432"/>
        <c:crosses val="autoZero"/>
        <c:crossBetween val="between"/>
      </c:valAx>
      <c:spPr>
        <a:solidFill>
          <a:srgbClr val="FFFFCC">
            <a:alpha val="25000"/>
          </a:srgbClr>
        </a:solidFill>
      </c:spPr>
    </c:plotArea>
    <c:legend>
      <c:legendPos val="b"/>
      <c:overlay val="0"/>
    </c:legend>
    <c:plotVisOnly val="1"/>
    <c:dispBlanksAs val="gap"/>
    <c:showDLblsOverMax val="0"/>
  </c:chart>
  <c:spPr>
    <a:solidFill>
      <a:srgbClr val="FFFFCC">
        <a:alpha val="25000"/>
      </a:srgbClr>
    </a:solidFill>
  </c:spPr>
  <c:printSettings>
    <c:headerFooter/>
    <c:pageMargins b="0.75000000000000577" l="0.70000000000000062" r="0.70000000000000062" t="0.750000000000005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5C. Cost Per Exit</a:t>
            </a:r>
          </a:p>
          <a:p>
            <a:pPr>
              <a:defRPr sz="1400"/>
            </a:pPr>
            <a:r>
              <a:rPr lang="en-US" sz="1400"/>
              <a:t>All </a:t>
            </a:r>
            <a:r>
              <a:rPr lang="en-US" sz="1400" baseline="0"/>
              <a:t>Households</a:t>
            </a:r>
            <a:endParaRPr lang="en-US" sz="1400"/>
          </a:p>
        </c:rich>
      </c:tx>
      <c:overlay val="0"/>
    </c:title>
    <c:autoTitleDeleted val="0"/>
    <c:plotArea>
      <c:layout/>
      <c:barChart>
        <c:barDir val="col"/>
        <c:grouping val="clustered"/>
        <c:varyColors val="0"/>
        <c:ser>
          <c:idx val="0"/>
          <c:order val="0"/>
          <c:tx>
            <c:strRef>
              <c:f>Formulas!$CN$25</c:f>
              <c:strCache>
                <c:ptCount val="1"/>
                <c:pt idx="0">
                  <c:v>Emergency Shelters</c:v>
                </c:pt>
              </c:strCache>
            </c:strRef>
          </c:tx>
          <c:invertIfNegative val="0"/>
          <c:dLbls>
            <c:numFmt formatCode="&quot;$&quot;#,###;;;" sourceLinked="0"/>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Formulas!$CO$25:$CP$25</c:f>
              <c:numCache>
                <c:formatCode>"$"#,##0.00</c:formatCode>
                <c:ptCount val="2"/>
                <c:pt idx="0">
                  <c:v>1616.1616161616162</c:v>
                </c:pt>
                <c:pt idx="1">
                  <c:v>7960.1990049751248</c:v>
                </c:pt>
              </c:numCache>
            </c:numRef>
          </c:val>
        </c:ser>
        <c:ser>
          <c:idx val="1"/>
          <c:order val="1"/>
          <c:tx>
            <c:strRef>
              <c:f>Formulas!$CN$26</c:f>
              <c:strCache>
                <c:ptCount val="1"/>
                <c:pt idx="0">
                  <c:v>Transitional Housing</c:v>
                </c:pt>
              </c:strCache>
            </c:strRef>
          </c:tx>
          <c:invertIfNegative val="0"/>
          <c:dLbls>
            <c:numFmt formatCode="&quot;$&quot;#,###;;;" sourceLinked="0"/>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Formulas!$CO$26:$CP$26</c:f>
              <c:numCache>
                <c:formatCode>"$"#,##0.00</c:formatCode>
                <c:ptCount val="2"/>
                <c:pt idx="0">
                  <c:v>9230.7692307692305</c:v>
                </c:pt>
                <c:pt idx="1">
                  <c:v>18750</c:v>
                </c:pt>
              </c:numCache>
            </c:numRef>
          </c:val>
        </c:ser>
        <c:ser>
          <c:idx val="2"/>
          <c:order val="2"/>
          <c:tx>
            <c:strRef>
              <c:f>Formulas!$CN$27</c:f>
              <c:strCache>
                <c:ptCount val="1"/>
                <c:pt idx="0">
                  <c:v>Rapid Re-Housing</c:v>
                </c:pt>
              </c:strCache>
            </c:strRef>
          </c:tx>
          <c:invertIfNegative val="0"/>
          <c:dLbls>
            <c:numFmt formatCode="&quot;$&quot;#,###;;;" sourceLinked="0"/>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Formulas!$CO$10:$CP$10</c:f>
              <c:strCache>
                <c:ptCount val="2"/>
                <c:pt idx="0">
                  <c:v>Cost/Exit</c:v>
                </c:pt>
                <c:pt idx="1">
                  <c:v>Cost/PH Exit</c:v>
                </c:pt>
              </c:strCache>
            </c:strRef>
          </c:cat>
          <c:val>
            <c:numRef>
              <c:f>Formulas!$CO$27:$CP$27</c:f>
              <c:numCache>
                <c:formatCode>"$"#,##0.00</c:formatCode>
                <c:ptCount val="2"/>
                <c:pt idx="0">
                  <c:v>3517.6470588235293</c:v>
                </c:pt>
                <c:pt idx="1">
                  <c:v>4308.3573487031699</c:v>
                </c:pt>
              </c:numCache>
            </c:numRef>
          </c:val>
        </c:ser>
        <c:dLbls>
          <c:showLegendKey val="0"/>
          <c:showVal val="1"/>
          <c:showCatName val="0"/>
          <c:showSerName val="0"/>
          <c:showPercent val="0"/>
          <c:showBubbleSize val="0"/>
        </c:dLbls>
        <c:gapWidth val="75"/>
        <c:axId val="554674960"/>
        <c:axId val="554672216"/>
      </c:barChart>
      <c:catAx>
        <c:axId val="554674960"/>
        <c:scaling>
          <c:orientation val="minMax"/>
        </c:scaling>
        <c:delete val="0"/>
        <c:axPos val="b"/>
        <c:numFmt formatCode="General" sourceLinked="0"/>
        <c:majorTickMark val="none"/>
        <c:minorTickMark val="none"/>
        <c:tickLblPos val="nextTo"/>
        <c:crossAx val="554672216"/>
        <c:crosses val="autoZero"/>
        <c:auto val="1"/>
        <c:lblAlgn val="ctr"/>
        <c:lblOffset val="100"/>
        <c:noMultiLvlLbl val="0"/>
      </c:catAx>
      <c:valAx>
        <c:axId val="554672216"/>
        <c:scaling>
          <c:orientation val="minMax"/>
        </c:scaling>
        <c:delete val="0"/>
        <c:axPos val="l"/>
        <c:majorGridlines/>
        <c:numFmt formatCode="&quot;$&quot;#,##0" sourceLinked="0"/>
        <c:majorTickMark val="none"/>
        <c:minorTickMark val="none"/>
        <c:tickLblPos val="nextTo"/>
        <c:spPr>
          <a:ln w="9525">
            <a:noFill/>
          </a:ln>
        </c:spPr>
        <c:crossAx val="554674960"/>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25000"/>
      </a:sysClr>
    </a:solidFill>
  </c:spPr>
  <c:printSettings>
    <c:headerFooter/>
    <c:pageMargins b="0.750000000000006" l="0.70000000000000062" r="0.70000000000000062" t="0.75000000000000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Formulas!$Z$26</c:f>
          <c:strCache>
            <c:ptCount val="1"/>
            <c:pt idx="0">
              <c:v>6A. Change in Permanent Housing Exits
Single Adults</c:v>
            </c:pt>
          </c:strCache>
        </c:strRef>
      </c:tx>
      <c:layout>
        <c:manualLayout>
          <c:xMode val="edge"/>
          <c:yMode val="edge"/>
          <c:x val="2.4312147135751288E-3"/>
          <c:y val="4.4066396506437832E-3"/>
        </c:manualLayout>
      </c:layout>
      <c:overlay val="0"/>
      <c:txPr>
        <a:bodyPr/>
        <a:lstStyle/>
        <a:p>
          <a:pPr algn="l">
            <a:defRPr sz="1200"/>
          </a:pPr>
          <a:endParaRPr lang="en-US"/>
        </a:p>
      </c:txPr>
    </c:title>
    <c:autoTitleDeleted val="0"/>
    <c:plotArea>
      <c:layout>
        <c:manualLayout>
          <c:layoutTarget val="inner"/>
          <c:xMode val="edge"/>
          <c:yMode val="edge"/>
          <c:x val="9.875237082551E-2"/>
          <c:y val="0.20413706736514403"/>
          <c:w val="0.87781714785651799"/>
          <c:h val="0.63327719451735198"/>
        </c:manualLayout>
      </c:layout>
      <c:barChart>
        <c:barDir val="col"/>
        <c:grouping val="clustered"/>
        <c:varyColors val="0"/>
        <c:ser>
          <c:idx val="2"/>
          <c:order val="2"/>
          <c:tx>
            <c:strRef>
              <c:f>Formulas!$AE$25</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Formulas!$AA$26:$AA$29</c:f>
              <c:strCache>
                <c:ptCount val="4"/>
                <c:pt idx="0">
                  <c:v>ES</c:v>
                </c:pt>
                <c:pt idx="1">
                  <c:v>TH</c:v>
                </c:pt>
                <c:pt idx="2">
                  <c:v>RR</c:v>
                </c:pt>
                <c:pt idx="3">
                  <c:v>All Programs</c:v>
                </c:pt>
              </c:strCache>
            </c:strRef>
          </c:cat>
          <c:val>
            <c:numRef>
              <c:f>Formulas!$AE$26:$AE$29</c:f>
              <c:numCache>
                <c:formatCode>#,##0</c:formatCode>
                <c:ptCount val="4"/>
                <c:pt idx="0">
                  <c:v>265</c:v>
                </c:pt>
                <c:pt idx="1">
                  <c:v>98</c:v>
                </c:pt>
                <c:pt idx="2">
                  <c:v>112</c:v>
                </c:pt>
                <c:pt idx="3">
                  <c:v>475</c:v>
                </c:pt>
              </c:numCache>
            </c:numRef>
          </c:val>
        </c:ser>
        <c:ser>
          <c:idx val="3"/>
          <c:order val="3"/>
          <c:tx>
            <c:strRef>
              <c:f>Formulas!$AF$25</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Formulas!$AA$26:$AA$29</c:f>
              <c:strCache>
                <c:ptCount val="4"/>
                <c:pt idx="0">
                  <c:v>ES</c:v>
                </c:pt>
                <c:pt idx="1">
                  <c:v>TH</c:v>
                </c:pt>
                <c:pt idx="2">
                  <c:v>RR</c:v>
                </c:pt>
                <c:pt idx="3">
                  <c:v>All Programs</c:v>
                </c:pt>
              </c:strCache>
            </c:strRef>
          </c:cat>
          <c:val>
            <c:numRef>
              <c:f>Formulas!$AF$26:$AF$29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54673392"/>
        <c:axId val="554673784"/>
      </c:barChart>
      <c:barChart>
        <c:barDir val="col"/>
        <c:grouping val="clustered"/>
        <c:varyColors val="0"/>
        <c:ser>
          <c:idx val="0"/>
          <c:order val="0"/>
          <c:tx>
            <c:strRef>
              <c:f>Formulas!$AB$25</c:f>
              <c:strCache>
                <c:ptCount val="1"/>
                <c:pt idx="0">
                  <c:v>Current PH Exits</c:v>
                </c:pt>
              </c:strCache>
            </c:strRef>
          </c:tx>
          <c:invertIfNegative val="0"/>
          <c:dLbls>
            <c:delete val="1"/>
          </c:dLbls>
          <c:cat>
            <c:strRef>
              <c:f>Formulas!$AA$26:$AA$29</c:f>
              <c:strCache>
                <c:ptCount val="4"/>
                <c:pt idx="0">
                  <c:v>ES</c:v>
                </c:pt>
                <c:pt idx="1">
                  <c:v>TH</c:v>
                </c:pt>
                <c:pt idx="2">
                  <c:v>RR</c:v>
                </c:pt>
                <c:pt idx="3">
                  <c:v>All Programs</c:v>
                </c:pt>
              </c:strCache>
            </c:strRef>
          </c:cat>
          <c:val>
            <c:numRef>
              <c:f>Formulas!$AB$26:$AB$29</c:f>
              <c:numCache>
                <c:formatCode>#,##0</c:formatCode>
                <c:ptCount val="4"/>
                <c:pt idx="0">
                  <c:v>265</c:v>
                </c:pt>
                <c:pt idx="1">
                  <c:v>98</c:v>
                </c:pt>
                <c:pt idx="2">
                  <c:v>112</c:v>
                </c:pt>
                <c:pt idx="3">
                  <c:v>475</c:v>
                </c:pt>
              </c:numCache>
            </c:numRef>
          </c:val>
        </c:ser>
        <c:ser>
          <c:idx val="1"/>
          <c:order val="1"/>
          <c:tx>
            <c:strRef>
              <c:f>Formulas!$AC$25</c:f>
              <c:strCache>
                <c:ptCount val="1"/>
                <c:pt idx="0">
                  <c:v>New PH Exits</c:v>
                </c:pt>
              </c:strCache>
            </c:strRef>
          </c:tx>
          <c:invertIfNegative val="0"/>
          <c:dLbls>
            <c:dLbl>
              <c:idx val="0"/>
              <c:tx>
                <c:strRef>
                  <c:f>Formulas!$AD$26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{DDBB131B-2A1C-470A-9A00-BC46707C9333}</c15:txfldGUID>
                      <c15:f>Formulas!$AD$26</c15:f>
                      <c15:dlblFieldTableCache>
                        <c:ptCount val="1"/>
                      </c15:dlblFieldTableCache>
                    </c15:dlblFTEntry>
                  </c15:dlblFieldTable>
                  <c15:showDataLabelsRange val="0"/>
                </c:ext>
              </c:extLst>
            </c:dLbl>
            <c:dLbl>
              <c:idx val="1"/>
              <c:tx>
                <c:strRef>
                  <c:f>Formulas!$AD$27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{69EB90BA-A01E-4C36-A4F7-B39C5CB014F0}</c15:txfldGUID>
                      <c15:f>Formulas!$AD$27</c15:f>
                      <c15:dlblFieldTableCache>
                        <c:ptCount val="1"/>
                      </c15:dlblFieldTableCache>
                    </c15:dlblFTEntry>
                  </c15:dlblFieldTable>
                  <c15:showDataLabelsRange val="0"/>
                </c:ext>
              </c:extLst>
            </c:dLbl>
            <c:dLbl>
              <c:idx val="2"/>
              <c:tx>
                <c:strRef>
                  <c:f>Formulas!$AD$28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{F7F50378-A08C-4C2A-98C6-BD9E527C12B6}</c15:txfldGUID>
                      <c15:f>Formulas!$AD$28</c15:f>
                      <c15:dlblFieldTableCache>
                        <c:ptCount val="1"/>
                      </c15:dlblFieldTableCache>
                    </c15:dlblFTEntry>
                  </c15:dlblFieldTable>
                  <c15:showDataLabelsRange val="0"/>
                </c:ext>
              </c:extLst>
            </c:dLbl>
            <c:dLbl>
              <c:idx val="3"/>
              <c:tx>
                <c:strRef>
                  <c:f>Formulas!$AD$29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{AC1A81DC-3196-4C25-922F-84576C7A0E57}</c15:txfldGUID>
                      <c15:f>Formulas!$AD$29</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Formulas!$AA$26:$AA$29</c:f>
              <c:strCache>
                <c:ptCount val="4"/>
                <c:pt idx="0">
                  <c:v>ES</c:v>
                </c:pt>
                <c:pt idx="1">
                  <c:v>TH</c:v>
                </c:pt>
                <c:pt idx="2">
                  <c:v>RR</c:v>
                </c:pt>
                <c:pt idx="3">
                  <c:v>All Programs</c:v>
                </c:pt>
              </c:strCache>
            </c:strRef>
          </c:cat>
          <c:val>
            <c:numRef>
              <c:f>Formulas!$AC$26:$AC$29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559406048"/>
        <c:axId val="559409184"/>
      </c:barChart>
      <c:catAx>
        <c:axId val="554673392"/>
        <c:scaling>
          <c:orientation val="minMax"/>
        </c:scaling>
        <c:delete val="0"/>
        <c:axPos val="b"/>
        <c:numFmt formatCode="General" sourceLinked="0"/>
        <c:majorTickMark val="none"/>
        <c:minorTickMark val="none"/>
        <c:tickLblPos val="nextTo"/>
        <c:crossAx val="554673784"/>
        <c:crosses val="autoZero"/>
        <c:auto val="1"/>
        <c:lblAlgn val="ctr"/>
        <c:lblOffset val="100"/>
        <c:noMultiLvlLbl val="0"/>
      </c:catAx>
      <c:valAx>
        <c:axId val="554673784"/>
        <c:scaling>
          <c:orientation val="minMax"/>
        </c:scaling>
        <c:delete val="0"/>
        <c:axPos val="l"/>
        <c:majorGridlines/>
        <c:numFmt formatCode="#,##0" sourceLinked="1"/>
        <c:majorTickMark val="none"/>
        <c:minorTickMark val="none"/>
        <c:tickLblPos val="nextTo"/>
        <c:crossAx val="554673392"/>
        <c:crosses val="autoZero"/>
        <c:crossBetween val="between"/>
      </c:valAx>
      <c:valAx>
        <c:axId val="559409184"/>
        <c:scaling>
          <c:orientation val="minMax"/>
        </c:scaling>
        <c:delete val="1"/>
        <c:axPos val="r"/>
        <c:numFmt formatCode="#,##0" sourceLinked="1"/>
        <c:majorTickMark val="out"/>
        <c:minorTickMark val="none"/>
        <c:tickLblPos val="none"/>
        <c:crossAx val="559406048"/>
        <c:crosses val="max"/>
        <c:crossBetween val="between"/>
      </c:valAx>
      <c:catAx>
        <c:axId val="559406048"/>
        <c:scaling>
          <c:orientation val="minMax"/>
        </c:scaling>
        <c:delete val="1"/>
        <c:axPos val="b"/>
        <c:numFmt formatCode="General" sourceLinked="1"/>
        <c:majorTickMark val="out"/>
        <c:minorTickMark val="none"/>
        <c:tickLblPos val="none"/>
        <c:crossAx val="55940918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2074"/>
          <c:y val="0.91628280839894949"/>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oddHeader>&amp;L&amp;G&amp;C&amp;"Calibri,Bold"Outcome Improvement Calculator:
CHANGE IN PH EXIT RATE&amp;R&amp;G</c:oddHeader>
    </c:headerFooter>
    <c:pageMargins b="0.750000000000006" l="0.70000000000000062" r="0.70000000000000062" t="0.750000000000006"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Formulas!$Z$38</c:f>
          <c:strCache>
            <c:ptCount val="1"/>
            <c:pt idx="0">
              <c:v>6B. Change in Permanent Housing Exits
Family Households</c:v>
            </c:pt>
          </c:strCache>
        </c:strRef>
      </c:tx>
      <c:layout>
        <c:manualLayout>
          <c:xMode val="edge"/>
          <c:yMode val="edge"/>
          <c:x val="1.0011258025382503E-3"/>
          <c:y val="9.1389865009208846E-3"/>
        </c:manualLayout>
      </c:layout>
      <c:overlay val="0"/>
      <c:txPr>
        <a:bodyPr/>
        <a:lstStyle/>
        <a:p>
          <a:pPr algn="l">
            <a:defRPr sz="1200"/>
          </a:pPr>
          <a:endParaRPr lang="en-US"/>
        </a:p>
      </c:txPr>
    </c:title>
    <c:autoTitleDeleted val="0"/>
    <c:plotArea>
      <c:layout>
        <c:manualLayout>
          <c:layoutTarget val="inner"/>
          <c:xMode val="edge"/>
          <c:yMode val="edge"/>
          <c:x val="0.10708573928259073"/>
          <c:y val="0.19086638180336174"/>
          <c:w val="0.86235870516185453"/>
          <c:h val="0.62795518716078491"/>
        </c:manualLayout>
      </c:layout>
      <c:barChart>
        <c:barDir val="col"/>
        <c:grouping val="clustered"/>
        <c:varyColors val="0"/>
        <c:ser>
          <c:idx val="2"/>
          <c:order val="2"/>
          <c:tx>
            <c:strRef>
              <c:f>Formulas!$AE$37</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Formulas!$AA$38:$AA$41</c:f>
              <c:strCache>
                <c:ptCount val="4"/>
                <c:pt idx="0">
                  <c:v>ES</c:v>
                </c:pt>
                <c:pt idx="1">
                  <c:v>TH</c:v>
                </c:pt>
                <c:pt idx="2">
                  <c:v>RR</c:v>
                </c:pt>
                <c:pt idx="3">
                  <c:v>All Programs</c:v>
                </c:pt>
              </c:strCache>
            </c:strRef>
          </c:cat>
          <c:val>
            <c:numRef>
              <c:f>Formulas!$AE$38:$AE$41</c:f>
              <c:numCache>
                <c:formatCode>#,##0</c:formatCode>
                <c:ptCount val="4"/>
                <c:pt idx="0">
                  <c:v>137</c:v>
                </c:pt>
                <c:pt idx="1">
                  <c:v>158</c:v>
                </c:pt>
                <c:pt idx="2">
                  <c:v>235</c:v>
                </c:pt>
                <c:pt idx="3">
                  <c:v>530</c:v>
                </c:pt>
              </c:numCache>
            </c:numRef>
          </c:val>
        </c:ser>
        <c:ser>
          <c:idx val="3"/>
          <c:order val="3"/>
          <c:tx>
            <c:strRef>
              <c:f>Formulas!$AF$37</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Formulas!$AA$38:$AA$41</c:f>
              <c:strCache>
                <c:ptCount val="4"/>
                <c:pt idx="0">
                  <c:v>ES</c:v>
                </c:pt>
                <c:pt idx="1">
                  <c:v>TH</c:v>
                </c:pt>
                <c:pt idx="2">
                  <c:v>RR</c:v>
                </c:pt>
                <c:pt idx="3">
                  <c:v>All Programs</c:v>
                </c:pt>
              </c:strCache>
            </c:strRef>
          </c:cat>
          <c:val>
            <c:numRef>
              <c:f>Formulas!$AF$38:$AF$41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559406832"/>
        <c:axId val="559405656"/>
      </c:barChart>
      <c:barChart>
        <c:barDir val="col"/>
        <c:grouping val="clustered"/>
        <c:varyColors val="0"/>
        <c:ser>
          <c:idx val="0"/>
          <c:order val="0"/>
          <c:tx>
            <c:strRef>
              <c:f>Formulas!$AB$37</c:f>
              <c:strCache>
                <c:ptCount val="1"/>
                <c:pt idx="0">
                  <c:v>Current PH Exits</c:v>
                </c:pt>
              </c:strCache>
            </c:strRef>
          </c:tx>
          <c:invertIfNegative val="0"/>
          <c:dLbls>
            <c:delete val="1"/>
          </c:dLbls>
          <c:cat>
            <c:strRef>
              <c:f>Formulas!$AA$38:$AA$41</c:f>
              <c:strCache>
                <c:ptCount val="4"/>
                <c:pt idx="0">
                  <c:v>ES</c:v>
                </c:pt>
                <c:pt idx="1">
                  <c:v>TH</c:v>
                </c:pt>
                <c:pt idx="2">
                  <c:v>RR</c:v>
                </c:pt>
                <c:pt idx="3">
                  <c:v>All Programs</c:v>
                </c:pt>
              </c:strCache>
            </c:strRef>
          </c:cat>
          <c:val>
            <c:numRef>
              <c:f>Formulas!$AB$38:$AB$41</c:f>
              <c:numCache>
                <c:formatCode>#,##0</c:formatCode>
                <c:ptCount val="4"/>
                <c:pt idx="0">
                  <c:v>137</c:v>
                </c:pt>
                <c:pt idx="1">
                  <c:v>158</c:v>
                </c:pt>
                <c:pt idx="2">
                  <c:v>235</c:v>
                </c:pt>
                <c:pt idx="3">
                  <c:v>530</c:v>
                </c:pt>
              </c:numCache>
            </c:numRef>
          </c:val>
        </c:ser>
        <c:ser>
          <c:idx val="1"/>
          <c:order val="1"/>
          <c:tx>
            <c:strRef>
              <c:f>Formulas!$AC$37</c:f>
              <c:strCache>
                <c:ptCount val="1"/>
                <c:pt idx="0">
                  <c:v>New PH Exits</c:v>
                </c:pt>
              </c:strCache>
            </c:strRef>
          </c:tx>
          <c:invertIfNegative val="0"/>
          <c:dLbls>
            <c:dLbl>
              <c:idx val="0"/>
              <c:tx>
                <c:strRef>
                  <c:f>Formulas!$AD$38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{F7797F92-4903-4AA6-B091-D1840ACC1D57}</c15:txfldGUID>
                      <c15:f>Formulas!$AD$38</c15:f>
                      <c15:dlblFieldTableCache>
                        <c:ptCount val="1"/>
                      </c15:dlblFieldTableCache>
                    </c15:dlblFTEntry>
                  </c15:dlblFieldTable>
                  <c15:showDataLabelsRange val="0"/>
                </c:ext>
              </c:extLst>
            </c:dLbl>
            <c:dLbl>
              <c:idx val="1"/>
              <c:tx>
                <c:strRef>
                  <c:f>Formulas!$AD$39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{303DCB72-C31D-4DFA-BD15-7248A65618F8}</c15:txfldGUID>
                      <c15:f>Formulas!$AD$39</c15:f>
                      <c15:dlblFieldTableCache>
                        <c:ptCount val="1"/>
                      </c15:dlblFieldTableCache>
                    </c15:dlblFTEntry>
                  </c15:dlblFieldTable>
                  <c15:showDataLabelsRange val="0"/>
                </c:ext>
              </c:extLst>
            </c:dLbl>
            <c:dLbl>
              <c:idx val="2"/>
              <c:tx>
                <c:strRef>
                  <c:f>Formulas!$AD$40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{F5FD0509-AC3D-412A-A060-23FB2CDD8950}</c15:txfldGUID>
                      <c15:f>Formulas!$AD$40</c15:f>
                      <c15:dlblFieldTableCache>
                        <c:ptCount val="1"/>
                      </c15:dlblFieldTableCache>
                    </c15:dlblFTEntry>
                  </c15:dlblFieldTable>
                  <c15:showDataLabelsRange val="0"/>
                </c:ext>
              </c:extLst>
            </c:dLbl>
            <c:dLbl>
              <c:idx val="3"/>
              <c:tx>
                <c:strRef>
                  <c:f>Formulas!$AD$41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{57B5FAAA-87BB-4576-837D-D9D5D4258E9E}</c15:txfldGUID>
                      <c15:f>Formulas!$AD$41</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Formulas!$AA$38:$AA$41</c:f>
              <c:strCache>
                <c:ptCount val="4"/>
                <c:pt idx="0">
                  <c:v>ES</c:v>
                </c:pt>
                <c:pt idx="1">
                  <c:v>TH</c:v>
                </c:pt>
                <c:pt idx="2">
                  <c:v>RR</c:v>
                </c:pt>
                <c:pt idx="3">
                  <c:v>All Programs</c:v>
                </c:pt>
              </c:strCache>
            </c:strRef>
          </c:cat>
          <c:val>
            <c:numRef>
              <c:f>Formulas!$AC$38:$AC$41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559407224"/>
        <c:axId val="559406440"/>
      </c:barChart>
      <c:catAx>
        <c:axId val="559406832"/>
        <c:scaling>
          <c:orientation val="minMax"/>
        </c:scaling>
        <c:delete val="0"/>
        <c:axPos val="b"/>
        <c:numFmt formatCode="General" sourceLinked="0"/>
        <c:majorTickMark val="none"/>
        <c:minorTickMark val="none"/>
        <c:tickLblPos val="nextTo"/>
        <c:crossAx val="559405656"/>
        <c:crosses val="autoZero"/>
        <c:auto val="1"/>
        <c:lblAlgn val="ctr"/>
        <c:lblOffset val="100"/>
        <c:noMultiLvlLbl val="0"/>
      </c:catAx>
      <c:valAx>
        <c:axId val="559405656"/>
        <c:scaling>
          <c:orientation val="minMax"/>
        </c:scaling>
        <c:delete val="0"/>
        <c:axPos val="l"/>
        <c:majorGridlines/>
        <c:numFmt formatCode="#,##0" sourceLinked="1"/>
        <c:majorTickMark val="none"/>
        <c:minorTickMark val="none"/>
        <c:tickLblPos val="nextTo"/>
        <c:crossAx val="559406832"/>
        <c:crosses val="autoZero"/>
        <c:crossBetween val="between"/>
      </c:valAx>
      <c:valAx>
        <c:axId val="559406440"/>
        <c:scaling>
          <c:orientation val="minMax"/>
        </c:scaling>
        <c:delete val="1"/>
        <c:axPos val="r"/>
        <c:numFmt formatCode="#,##0" sourceLinked="1"/>
        <c:majorTickMark val="out"/>
        <c:minorTickMark val="none"/>
        <c:tickLblPos val="none"/>
        <c:crossAx val="559407224"/>
        <c:crosses val="max"/>
        <c:crossBetween val="between"/>
      </c:valAx>
      <c:catAx>
        <c:axId val="559407224"/>
        <c:scaling>
          <c:orientation val="minMax"/>
        </c:scaling>
        <c:delete val="1"/>
        <c:axPos val="b"/>
        <c:numFmt formatCode="General" sourceLinked="1"/>
        <c:majorTickMark val="out"/>
        <c:minorTickMark val="none"/>
        <c:tickLblPos val="none"/>
        <c:crossAx val="559406440"/>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6490988626422046"/>
          <c:y val="0.91628280839894949"/>
          <c:w val="0.47018000874890636"/>
          <c:h val="8.3717191601050026E-2"/>
        </c:manualLayout>
      </c:layout>
      <c:overlay val="0"/>
    </c:legend>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Formulas!$Z$50</c:f>
          <c:strCache>
            <c:ptCount val="1"/>
            <c:pt idx="0">
              <c:v>6C. Change in Permanent Housing Exits
All Households</c:v>
            </c:pt>
          </c:strCache>
        </c:strRef>
      </c:tx>
      <c:layout>
        <c:manualLayout>
          <c:xMode val="edge"/>
          <c:yMode val="edge"/>
          <c:x val="1.6795331893400829E-3"/>
          <c:y val="9.0989080648476526E-3"/>
        </c:manualLayout>
      </c:layout>
      <c:overlay val="0"/>
      <c:txPr>
        <a:bodyPr/>
        <a:lstStyle/>
        <a:p>
          <a:pPr algn="l">
            <a:defRPr sz="1200"/>
          </a:pPr>
          <a:endParaRPr lang="en-US"/>
        </a:p>
      </c:txPr>
    </c:title>
    <c:autoTitleDeleted val="0"/>
    <c:plotArea>
      <c:layout>
        <c:manualLayout>
          <c:layoutTarget val="inner"/>
          <c:xMode val="edge"/>
          <c:yMode val="edge"/>
          <c:x val="0.10690233117110542"/>
          <c:y val="0.18399752616772697"/>
          <c:w val="0.86259444644840066"/>
          <c:h val="0.58655931038616127"/>
        </c:manualLayout>
      </c:layout>
      <c:barChart>
        <c:barDir val="col"/>
        <c:grouping val="clustered"/>
        <c:varyColors val="0"/>
        <c:ser>
          <c:idx val="2"/>
          <c:order val="2"/>
          <c:tx>
            <c:strRef>
              <c:f>Formulas!$AE$49</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Formulas!$AA$50:$AA$53</c:f>
              <c:strCache>
                <c:ptCount val="4"/>
                <c:pt idx="0">
                  <c:v>ES</c:v>
                </c:pt>
                <c:pt idx="1">
                  <c:v>TH</c:v>
                </c:pt>
                <c:pt idx="2">
                  <c:v>RR</c:v>
                </c:pt>
                <c:pt idx="3">
                  <c:v>All Programs</c:v>
                </c:pt>
              </c:strCache>
            </c:strRef>
          </c:cat>
          <c:val>
            <c:numRef>
              <c:f>Formulas!$AE$50:$AE$53</c:f>
              <c:numCache>
                <c:formatCode>#,##0</c:formatCode>
                <c:ptCount val="4"/>
                <c:pt idx="0">
                  <c:v>402</c:v>
                </c:pt>
                <c:pt idx="1">
                  <c:v>256</c:v>
                </c:pt>
                <c:pt idx="2">
                  <c:v>347</c:v>
                </c:pt>
                <c:pt idx="3">
                  <c:v>1005</c:v>
                </c:pt>
              </c:numCache>
            </c:numRef>
          </c:val>
        </c:ser>
        <c:ser>
          <c:idx val="3"/>
          <c:order val="3"/>
          <c:tx>
            <c:strRef>
              <c:f>Formulas!$AF$49</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Formulas!$AA$50:$AA$53</c:f>
              <c:strCache>
                <c:ptCount val="4"/>
                <c:pt idx="0">
                  <c:v>ES</c:v>
                </c:pt>
                <c:pt idx="1">
                  <c:v>TH</c:v>
                </c:pt>
                <c:pt idx="2">
                  <c:v>RR</c:v>
                </c:pt>
                <c:pt idx="3">
                  <c:v>All Programs</c:v>
                </c:pt>
              </c:strCache>
            </c:strRef>
          </c:cat>
          <c:val>
            <c:numRef>
              <c:f>Formulas!$AF$50:$AF$53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559408008"/>
        <c:axId val="559408400"/>
      </c:barChart>
      <c:barChart>
        <c:barDir val="col"/>
        <c:grouping val="clustered"/>
        <c:varyColors val="0"/>
        <c:ser>
          <c:idx val="0"/>
          <c:order val="0"/>
          <c:tx>
            <c:strRef>
              <c:f>Formulas!$AB$49</c:f>
              <c:strCache>
                <c:ptCount val="1"/>
                <c:pt idx="0">
                  <c:v>Current PH Exits</c:v>
                </c:pt>
              </c:strCache>
            </c:strRef>
          </c:tx>
          <c:invertIfNegative val="0"/>
          <c:dLbls>
            <c:delete val="1"/>
          </c:dLbls>
          <c:cat>
            <c:strRef>
              <c:f>Formulas!$AA$50:$AA$53</c:f>
              <c:strCache>
                <c:ptCount val="4"/>
                <c:pt idx="0">
                  <c:v>ES</c:v>
                </c:pt>
                <c:pt idx="1">
                  <c:v>TH</c:v>
                </c:pt>
                <c:pt idx="2">
                  <c:v>RR</c:v>
                </c:pt>
                <c:pt idx="3">
                  <c:v>All Programs</c:v>
                </c:pt>
              </c:strCache>
            </c:strRef>
          </c:cat>
          <c:val>
            <c:numRef>
              <c:f>Formulas!$AB$50:$AB$53</c:f>
              <c:numCache>
                <c:formatCode>#,##0</c:formatCode>
                <c:ptCount val="4"/>
                <c:pt idx="0">
                  <c:v>402</c:v>
                </c:pt>
                <c:pt idx="1">
                  <c:v>256</c:v>
                </c:pt>
                <c:pt idx="2">
                  <c:v>347</c:v>
                </c:pt>
                <c:pt idx="3">
                  <c:v>1005</c:v>
                </c:pt>
              </c:numCache>
            </c:numRef>
          </c:val>
        </c:ser>
        <c:ser>
          <c:idx val="1"/>
          <c:order val="1"/>
          <c:tx>
            <c:strRef>
              <c:f>Formulas!$AC$49</c:f>
              <c:strCache>
                <c:ptCount val="1"/>
                <c:pt idx="0">
                  <c:v>New PH Exits</c:v>
                </c:pt>
              </c:strCache>
            </c:strRef>
          </c:tx>
          <c:invertIfNegative val="0"/>
          <c:dLbls>
            <c:dLbl>
              <c:idx val="0"/>
              <c:tx>
                <c:strRef>
                  <c:f>Formulas!$AD$50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{DF92D8BC-885A-4331-8B13-76E7D0E606B7}</c15:txfldGUID>
                      <c15:f>Formulas!$AD$50</c15:f>
                      <c15:dlblFieldTableCache>
                        <c:ptCount val="1"/>
                      </c15:dlblFieldTableCache>
                    </c15:dlblFTEntry>
                  </c15:dlblFieldTable>
                  <c15:showDataLabelsRange val="0"/>
                </c:ext>
              </c:extLst>
            </c:dLbl>
            <c:dLbl>
              <c:idx val="1"/>
              <c:tx>
                <c:strRef>
                  <c:f>Formulas!$AD$51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{61A29709-7E4E-4B50-B594-56E5375FC6A8}</c15:txfldGUID>
                      <c15:f>Formulas!$AD$51</c15:f>
                      <c15:dlblFieldTableCache>
                        <c:ptCount val="1"/>
                      </c15:dlblFieldTableCache>
                    </c15:dlblFTEntry>
                  </c15:dlblFieldTable>
                  <c15:showDataLabelsRange val="0"/>
                </c:ext>
              </c:extLst>
            </c:dLbl>
            <c:dLbl>
              <c:idx val="2"/>
              <c:tx>
                <c:strRef>
                  <c:f>Formulas!$AD$52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{A6F51F05-A5A5-430D-9A35-117E28AC2DE2}</c15:txfldGUID>
                      <c15:f>Formulas!$AD$52</c15:f>
                      <c15:dlblFieldTableCache>
                        <c:ptCount val="1"/>
                      </c15:dlblFieldTableCache>
                    </c15:dlblFTEntry>
                  </c15:dlblFieldTable>
                  <c15:showDataLabelsRange val="0"/>
                </c:ext>
              </c:extLst>
            </c:dLbl>
            <c:dLbl>
              <c:idx val="3"/>
              <c:tx>
                <c:strRef>
                  <c:f>Formulas!$AD$53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{31B41F83-09B9-47C6-9A23-175ADC649C21}</c15:txfldGUID>
                      <c15:f>Formulas!$AD$53</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Formulas!$AA$50:$AA$53</c:f>
              <c:strCache>
                <c:ptCount val="4"/>
                <c:pt idx="0">
                  <c:v>ES</c:v>
                </c:pt>
                <c:pt idx="1">
                  <c:v>TH</c:v>
                </c:pt>
                <c:pt idx="2">
                  <c:v>RR</c:v>
                </c:pt>
                <c:pt idx="3">
                  <c:v>All Programs</c:v>
                </c:pt>
              </c:strCache>
            </c:strRef>
          </c:cat>
          <c:val>
            <c:numRef>
              <c:f>Formulas!$AC$50:$AC$53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605559944"/>
        <c:axId val="605561512"/>
      </c:barChart>
      <c:catAx>
        <c:axId val="559408008"/>
        <c:scaling>
          <c:orientation val="minMax"/>
        </c:scaling>
        <c:delete val="0"/>
        <c:axPos val="b"/>
        <c:numFmt formatCode="General" sourceLinked="0"/>
        <c:majorTickMark val="none"/>
        <c:minorTickMark val="none"/>
        <c:tickLblPos val="nextTo"/>
        <c:crossAx val="559408400"/>
        <c:crosses val="autoZero"/>
        <c:auto val="1"/>
        <c:lblAlgn val="ctr"/>
        <c:lblOffset val="100"/>
        <c:noMultiLvlLbl val="0"/>
      </c:catAx>
      <c:valAx>
        <c:axId val="559408400"/>
        <c:scaling>
          <c:orientation val="minMax"/>
        </c:scaling>
        <c:delete val="0"/>
        <c:axPos val="l"/>
        <c:majorGridlines/>
        <c:numFmt formatCode="#,##0" sourceLinked="1"/>
        <c:majorTickMark val="none"/>
        <c:minorTickMark val="none"/>
        <c:tickLblPos val="nextTo"/>
        <c:crossAx val="559408008"/>
        <c:crosses val="autoZero"/>
        <c:crossBetween val="between"/>
      </c:valAx>
      <c:valAx>
        <c:axId val="605561512"/>
        <c:scaling>
          <c:orientation val="minMax"/>
        </c:scaling>
        <c:delete val="1"/>
        <c:axPos val="r"/>
        <c:numFmt formatCode="#,##0" sourceLinked="1"/>
        <c:majorTickMark val="out"/>
        <c:minorTickMark val="none"/>
        <c:tickLblPos val="none"/>
        <c:crossAx val="605559944"/>
        <c:crosses val="max"/>
        <c:crossBetween val="between"/>
      </c:valAx>
      <c:catAx>
        <c:axId val="605559944"/>
        <c:scaling>
          <c:orientation val="minMax"/>
        </c:scaling>
        <c:delete val="1"/>
        <c:axPos val="b"/>
        <c:numFmt formatCode="General" sourceLinked="1"/>
        <c:majorTickMark val="out"/>
        <c:minorTickMark val="none"/>
        <c:tickLblPos val="none"/>
        <c:crossAx val="60556151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overlay val="0"/>
    </c:legend>
    <c:plotVisOnly val="1"/>
    <c:dispBlanksAs val="gap"/>
    <c:showDLblsOverMax val="0"/>
  </c:chart>
  <c:spPr>
    <a:solidFill>
      <a:sysClr val="window" lastClr="FFFFFF">
        <a:lumMod val="95000"/>
        <a:alpha val="50000"/>
      </a:sysClr>
    </a:solidFill>
  </c:spPr>
  <c:printSettings>
    <c:headerFooter/>
    <c:pageMargins b="0.75000000000000577" l="0.70000000000000062" r="0.70000000000000062" t="0.750000000000005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Formulas!$Z$32</c:f>
          <c:strCache>
            <c:ptCount val="1"/>
            <c:pt idx="0">
              <c:v>7A. Change in Average Cost per Permanent Housing Exit
Single Adults</c:v>
            </c:pt>
          </c:strCache>
        </c:strRef>
      </c:tx>
      <c:layout>
        <c:manualLayout>
          <c:xMode val="edge"/>
          <c:yMode val="edge"/>
          <c:x val="2.0299774797029263E-3"/>
          <c:y val="0"/>
        </c:manualLayout>
      </c:layout>
      <c:overlay val="0"/>
      <c:txPr>
        <a:bodyPr/>
        <a:lstStyle/>
        <a:p>
          <a:pPr algn="l">
            <a:defRPr sz="1200"/>
          </a:pPr>
          <a:endParaRPr lang="en-US"/>
        </a:p>
      </c:txPr>
    </c:title>
    <c:autoTitleDeleted val="0"/>
    <c:plotArea>
      <c:layout>
        <c:manualLayout>
          <c:layoutTarget val="inner"/>
          <c:xMode val="edge"/>
          <c:yMode val="edge"/>
          <c:x val="0.13525231327625847"/>
          <c:y val="0.21385425780110903"/>
          <c:w val="0.83419203849519719"/>
          <c:h val="0.62253681831438068"/>
        </c:manualLayout>
      </c:layout>
      <c:barChart>
        <c:barDir val="col"/>
        <c:grouping val="clustered"/>
        <c:varyColors val="0"/>
        <c:ser>
          <c:idx val="0"/>
          <c:order val="0"/>
          <c:tx>
            <c:strRef>
              <c:f>Formulas!$AB$31</c:f>
              <c:strCache>
                <c:ptCount val="1"/>
                <c:pt idx="0">
                  <c:v>Current $/PH Exit</c:v>
                </c:pt>
              </c:strCache>
            </c:strRef>
          </c:tx>
          <c:invertIfNegative val="0"/>
          <c:dLbls>
            <c:delete val="1"/>
          </c:dLbls>
          <c:cat>
            <c:strRef>
              <c:f>Formulas!$AA$32:$AA$35</c:f>
              <c:strCache>
                <c:ptCount val="4"/>
                <c:pt idx="0">
                  <c:v>ES</c:v>
                </c:pt>
                <c:pt idx="1">
                  <c:v>TH</c:v>
                </c:pt>
                <c:pt idx="2">
                  <c:v>RR</c:v>
                </c:pt>
                <c:pt idx="3">
                  <c:v>All Programs</c:v>
                </c:pt>
              </c:strCache>
            </c:strRef>
          </c:cat>
          <c:val>
            <c:numRef>
              <c:f>Formulas!$AB$32:$AB$35</c:f>
              <c:numCache>
                <c:formatCode>"$"#,##0</c:formatCode>
                <c:ptCount val="4"/>
                <c:pt idx="0">
                  <c:v>7547</c:v>
                </c:pt>
                <c:pt idx="1">
                  <c:v>18367</c:v>
                </c:pt>
                <c:pt idx="2">
                  <c:v>5758</c:v>
                </c:pt>
                <c:pt idx="3">
                  <c:v>10557</c:v>
                </c:pt>
              </c:numCache>
            </c:numRef>
          </c:val>
        </c:ser>
        <c:ser>
          <c:idx val="1"/>
          <c:order val="1"/>
          <c:tx>
            <c:strRef>
              <c:f>Formulas!$AC$31</c:f>
              <c:strCache>
                <c:ptCount val="1"/>
                <c:pt idx="0">
                  <c:v>New $/PH Exit</c:v>
                </c:pt>
              </c:strCache>
            </c:strRef>
          </c:tx>
          <c:invertIfNegative val="0"/>
          <c:dLbls>
            <c:dLbl>
              <c:idx val="0"/>
              <c:tx>
                <c:strRef>
                  <c:f>Formulas!$AD$32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{8C16E31B-AAE2-4005-8650-B72778FC0D1A}</c15:txfldGUID>
                      <c15:f>Formulas!$AD$32</c15:f>
                      <c15:dlblFieldTableCache>
                        <c:ptCount val="1"/>
                      </c15:dlblFieldTableCache>
                    </c15:dlblFTEntry>
                  </c15:dlblFieldTable>
                  <c15:showDataLabelsRange val="0"/>
                </c:ext>
              </c:extLst>
            </c:dLbl>
            <c:dLbl>
              <c:idx val="1"/>
              <c:tx>
                <c:strRef>
                  <c:f>Formulas!$AD$33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{FD6CCCA5-737E-44C1-8178-28117F83E3A7}</c15:txfldGUID>
                      <c15:f>Formulas!$AD$33</c15:f>
                      <c15:dlblFieldTableCache>
                        <c:ptCount val="1"/>
                      </c15:dlblFieldTableCache>
                    </c15:dlblFTEntry>
                  </c15:dlblFieldTable>
                  <c15:showDataLabelsRange val="0"/>
                </c:ext>
              </c:extLst>
            </c:dLbl>
            <c:dLbl>
              <c:idx val="2"/>
              <c:tx>
                <c:strRef>
                  <c:f>Formulas!$AD$34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{26E94053-5F51-429D-B2DA-0D44A3463E2D}</c15:txfldGUID>
                      <c15:f>Formulas!$AD$34</c15:f>
                      <c15:dlblFieldTableCache>
                        <c:ptCount val="1"/>
                      </c15:dlblFieldTableCache>
                    </c15:dlblFTEntry>
                  </c15:dlblFieldTable>
                  <c15:showDataLabelsRange val="0"/>
                </c:ext>
              </c:extLst>
            </c:dLbl>
            <c:dLbl>
              <c:idx val="3"/>
              <c:tx>
                <c:strRef>
                  <c:f>Formulas!$AD$35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{4DC0C5A9-63BC-4DD7-89F9-975AF1F7DD20}</c15:txfldGUID>
                      <c15:f>Formulas!$AD$35</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Formulas!$AA$32:$AA$35</c:f>
              <c:strCache>
                <c:ptCount val="4"/>
                <c:pt idx="0">
                  <c:v>ES</c:v>
                </c:pt>
                <c:pt idx="1">
                  <c:v>TH</c:v>
                </c:pt>
                <c:pt idx="2">
                  <c:v>RR</c:v>
                </c:pt>
                <c:pt idx="3">
                  <c:v>All Programs</c:v>
                </c:pt>
              </c:strCache>
            </c:strRef>
          </c:cat>
          <c:val>
            <c:numRef>
              <c:f>Formulas!$AC$32:$AC$35</c:f>
              <c:numCache>
                <c:formatCode>"$"#,##0</c:formatCode>
                <c:ptCount val="4"/>
                <c:pt idx="0">
                  <c:v>7547</c:v>
                </c:pt>
                <c:pt idx="1">
                  <c:v>18367</c:v>
                </c:pt>
                <c:pt idx="2">
                  <c:v>5758</c:v>
                </c:pt>
                <c:pt idx="3">
                  <c:v>10557</c:v>
                </c:pt>
              </c:numCache>
            </c:numRef>
          </c:val>
        </c:ser>
        <c:dLbls>
          <c:showLegendKey val="0"/>
          <c:showVal val="1"/>
          <c:showCatName val="0"/>
          <c:showSerName val="0"/>
          <c:showPercent val="0"/>
          <c:showBubbleSize val="0"/>
        </c:dLbls>
        <c:gapWidth val="75"/>
        <c:axId val="605558768"/>
        <c:axId val="605559160"/>
      </c:barChart>
      <c:barChart>
        <c:barDir val="col"/>
        <c:grouping val="clustered"/>
        <c:varyColors val="0"/>
        <c:ser>
          <c:idx val="2"/>
          <c:order val="2"/>
          <c:tx>
            <c:strRef>
              <c:f>Formulas!$AE$31</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Formulas!$AA$32:$AA$35</c:f>
              <c:strCache>
                <c:ptCount val="4"/>
                <c:pt idx="0">
                  <c:v>ES</c:v>
                </c:pt>
                <c:pt idx="1">
                  <c:v>TH</c:v>
                </c:pt>
                <c:pt idx="2">
                  <c:v>RR</c:v>
                </c:pt>
                <c:pt idx="3">
                  <c:v>All Programs</c:v>
                </c:pt>
              </c:strCache>
            </c:strRef>
          </c:cat>
          <c:val>
            <c:numRef>
              <c:f>Formulas!$AE$32:$AE$35</c:f>
              <c:numCache>
                <c:formatCode>"$"#,##0</c:formatCode>
                <c:ptCount val="4"/>
                <c:pt idx="0">
                  <c:v>7547</c:v>
                </c:pt>
                <c:pt idx="1">
                  <c:v>18367</c:v>
                </c:pt>
                <c:pt idx="2">
                  <c:v>5758</c:v>
                </c:pt>
                <c:pt idx="3">
                  <c:v>10557</c:v>
                </c:pt>
              </c:numCache>
            </c:numRef>
          </c:val>
        </c:ser>
        <c:ser>
          <c:idx val="3"/>
          <c:order val="3"/>
          <c:tx>
            <c:strRef>
              <c:f>Formulas!$AF$31</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Formulas!$AA$32:$AA$35</c:f>
              <c:strCache>
                <c:ptCount val="4"/>
                <c:pt idx="0">
                  <c:v>ES</c:v>
                </c:pt>
                <c:pt idx="1">
                  <c:v>TH</c:v>
                </c:pt>
                <c:pt idx="2">
                  <c:v>RR</c:v>
                </c:pt>
                <c:pt idx="3">
                  <c:v>All Programs</c:v>
                </c:pt>
              </c:strCache>
            </c:strRef>
          </c:cat>
          <c:val>
            <c:numRef>
              <c:f>Formulas!$AF$32:$AF$35</c:f>
              <c:numCache>
                <c:formatCode>"$"#,##0</c:formatCode>
                <c:ptCount val="4"/>
                <c:pt idx="0">
                  <c:v>7547</c:v>
                </c:pt>
                <c:pt idx="1">
                  <c:v>18367</c:v>
                </c:pt>
                <c:pt idx="2">
                  <c:v>5758</c:v>
                </c:pt>
                <c:pt idx="3">
                  <c:v>10557</c:v>
                </c:pt>
              </c:numCache>
            </c:numRef>
          </c:val>
        </c:ser>
        <c:dLbls>
          <c:showLegendKey val="0"/>
          <c:showVal val="0"/>
          <c:showCatName val="0"/>
          <c:showSerName val="0"/>
          <c:showPercent val="0"/>
          <c:showBubbleSize val="0"/>
        </c:dLbls>
        <c:gapWidth val="75"/>
        <c:axId val="605560336"/>
        <c:axId val="605559552"/>
      </c:barChart>
      <c:catAx>
        <c:axId val="605558768"/>
        <c:scaling>
          <c:orientation val="minMax"/>
        </c:scaling>
        <c:delete val="0"/>
        <c:axPos val="b"/>
        <c:numFmt formatCode="General" sourceLinked="0"/>
        <c:majorTickMark val="none"/>
        <c:minorTickMark val="none"/>
        <c:tickLblPos val="nextTo"/>
        <c:crossAx val="605559160"/>
        <c:crosses val="autoZero"/>
        <c:auto val="1"/>
        <c:lblAlgn val="ctr"/>
        <c:lblOffset val="100"/>
        <c:noMultiLvlLbl val="0"/>
      </c:catAx>
      <c:valAx>
        <c:axId val="605559160"/>
        <c:scaling>
          <c:orientation val="minMax"/>
        </c:scaling>
        <c:delete val="0"/>
        <c:axPos val="l"/>
        <c:majorGridlines/>
        <c:numFmt formatCode="&quot;$&quot;#,##0" sourceLinked="1"/>
        <c:majorTickMark val="none"/>
        <c:minorTickMark val="none"/>
        <c:tickLblPos val="nextTo"/>
        <c:crossAx val="605558768"/>
        <c:crosses val="autoZero"/>
        <c:crossBetween val="between"/>
      </c:valAx>
      <c:valAx>
        <c:axId val="605559552"/>
        <c:scaling>
          <c:orientation val="minMax"/>
        </c:scaling>
        <c:delete val="1"/>
        <c:axPos val="r"/>
        <c:numFmt formatCode="&quot;$&quot;#,##0" sourceLinked="1"/>
        <c:majorTickMark val="out"/>
        <c:minorTickMark val="none"/>
        <c:tickLblPos val="none"/>
        <c:crossAx val="605560336"/>
        <c:crosses val="max"/>
        <c:crossBetween val="between"/>
      </c:valAx>
      <c:catAx>
        <c:axId val="605560336"/>
        <c:scaling>
          <c:orientation val="minMax"/>
        </c:scaling>
        <c:delete val="1"/>
        <c:axPos val="b"/>
        <c:numFmt formatCode="General" sourceLinked="1"/>
        <c:majorTickMark val="out"/>
        <c:minorTickMark val="none"/>
        <c:tickLblPos val="none"/>
        <c:crossAx val="60555955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1.4312509363809641E-2"/>
          <c:y val="0.9116531787693205"/>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2B. Exits to Permanent</a:t>
            </a:r>
            <a:r>
              <a:rPr lang="en-US" sz="1200" baseline="0"/>
              <a:t> Housing</a:t>
            </a:r>
          </a:p>
          <a:p>
            <a:pPr>
              <a:defRPr sz="1200"/>
            </a:pPr>
            <a:r>
              <a:rPr lang="en-US" sz="1200"/>
              <a:t>Family Households</a:t>
            </a:r>
          </a:p>
        </c:rich>
      </c:tx>
      <c:overlay val="0"/>
    </c:title>
    <c:autoTitleDeleted val="0"/>
    <c:plotArea>
      <c:layout>
        <c:manualLayout>
          <c:layoutTarget val="inner"/>
          <c:xMode val="edge"/>
          <c:yMode val="edge"/>
          <c:x val="8.6687903940145E-2"/>
          <c:y val="0.24804132731611286"/>
          <c:w val="0.88253780204573051"/>
          <c:h val="0.61509742710873194"/>
        </c:manualLayout>
      </c:layout>
      <c:barChart>
        <c:barDir val="col"/>
        <c:grouping val="clustered"/>
        <c:varyColors val="0"/>
        <c:ser>
          <c:idx val="0"/>
          <c:order val="0"/>
          <c:tx>
            <c:strRef>
              <c:f>Formulas!$CJ$10</c:f>
              <c:strCache>
                <c:ptCount val="1"/>
                <c:pt idx="0">
                  <c:v>Exits to PH - Family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Formulas!$CH$11:$CH$13</c:f>
              <c:strCache>
                <c:ptCount val="3"/>
                <c:pt idx="0">
                  <c:v>Emergency Shelters</c:v>
                </c:pt>
                <c:pt idx="1">
                  <c:v>Transitional Housing</c:v>
                </c:pt>
                <c:pt idx="2">
                  <c:v>Rapid Re-Housing</c:v>
                </c:pt>
              </c:strCache>
            </c:strRef>
          </c:cat>
          <c:val>
            <c:numRef>
              <c:f>Formulas!$CJ$11:$CJ$13</c:f>
              <c:numCache>
                <c:formatCode>General</c:formatCode>
                <c:ptCount val="3"/>
                <c:pt idx="0">
                  <c:v>137</c:v>
                </c:pt>
                <c:pt idx="1">
                  <c:v>158</c:v>
                </c:pt>
                <c:pt idx="2">
                  <c:v>235</c:v>
                </c:pt>
              </c:numCache>
            </c:numRef>
          </c:val>
        </c:ser>
        <c:dLbls>
          <c:showLegendKey val="0"/>
          <c:showVal val="1"/>
          <c:showCatName val="0"/>
          <c:showSerName val="0"/>
          <c:showPercent val="0"/>
          <c:showBubbleSize val="0"/>
        </c:dLbls>
        <c:gapWidth val="50"/>
        <c:axId val="559012072"/>
        <c:axId val="559013248"/>
      </c:barChart>
      <c:catAx>
        <c:axId val="559012072"/>
        <c:scaling>
          <c:orientation val="minMax"/>
        </c:scaling>
        <c:delete val="0"/>
        <c:axPos val="b"/>
        <c:numFmt formatCode="General" sourceLinked="0"/>
        <c:majorTickMark val="out"/>
        <c:minorTickMark val="none"/>
        <c:tickLblPos val="nextTo"/>
        <c:crossAx val="559013248"/>
        <c:crosses val="autoZero"/>
        <c:auto val="1"/>
        <c:lblAlgn val="ctr"/>
        <c:lblOffset val="100"/>
        <c:noMultiLvlLbl val="0"/>
      </c:catAx>
      <c:valAx>
        <c:axId val="559013248"/>
        <c:scaling>
          <c:orientation val="minMax"/>
        </c:scaling>
        <c:delete val="0"/>
        <c:axPos val="l"/>
        <c:majorGridlines/>
        <c:numFmt formatCode="General" sourceLinked="1"/>
        <c:majorTickMark val="out"/>
        <c:minorTickMark val="none"/>
        <c:tickLblPos val="nextTo"/>
        <c:crossAx val="559012072"/>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oddHeader>&amp;L&amp;G</c:oddHeader>
    </c:headerFooter>
    <c:pageMargins b="0.75000000000000577" l="0.70000000000000062" r="0.70000000000000062" t="0.75000000000000577"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Formulas!$Z$44</c:f>
          <c:strCache>
            <c:ptCount val="1"/>
            <c:pt idx="0">
              <c:v>7B. Change in Average Cost per Permanent Housing Exit
Family Households</c:v>
            </c:pt>
          </c:strCache>
        </c:strRef>
      </c:tx>
      <c:layout>
        <c:manualLayout>
          <c:xMode val="edge"/>
          <c:yMode val="edge"/>
          <c:x val="1.5286452734918439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070610965296109"/>
          <c:w val="0.83419203849519719"/>
          <c:h val="0.64568496646253026"/>
        </c:manualLayout>
      </c:layout>
      <c:barChart>
        <c:barDir val="col"/>
        <c:grouping val="clustered"/>
        <c:varyColors val="0"/>
        <c:ser>
          <c:idx val="0"/>
          <c:order val="0"/>
          <c:tx>
            <c:strRef>
              <c:f>Formulas!$AB$43</c:f>
              <c:strCache>
                <c:ptCount val="1"/>
                <c:pt idx="0">
                  <c:v>Current $/PH Exit</c:v>
                </c:pt>
              </c:strCache>
            </c:strRef>
          </c:tx>
          <c:invertIfNegative val="0"/>
          <c:dLbls>
            <c:delete val="1"/>
          </c:dLbls>
          <c:cat>
            <c:strRef>
              <c:f>Formulas!$AA$44:$AA$47</c:f>
              <c:strCache>
                <c:ptCount val="4"/>
                <c:pt idx="0">
                  <c:v>ES</c:v>
                </c:pt>
                <c:pt idx="1">
                  <c:v>TH</c:v>
                </c:pt>
                <c:pt idx="2">
                  <c:v>RR</c:v>
                </c:pt>
                <c:pt idx="3">
                  <c:v>All Programs</c:v>
                </c:pt>
              </c:strCache>
            </c:strRef>
          </c:cat>
          <c:val>
            <c:numRef>
              <c:f>Formulas!$AB$44:$AB$47</c:f>
              <c:numCache>
                <c:formatCode>"$"#,##0</c:formatCode>
                <c:ptCount val="4"/>
                <c:pt idx="0">
                  <c:v>8759</c:v>
                </c:pt>
                <c:pt idx="1">
                  <c:v>18987</c:v>
                </c:pt>
                <c:pt idx="2">
                  <c:v>3617</c:v>
                </c:pt>
                <c:pt idx="3">
                  <c:v>10454</c:v>
                </c:pt>
              </c:numCache>
            </c:numRef>
          </c:val>
        </c:ser>
        <c:ser>
          <c:idx val="1"/>
          <c:order val="1"/>
          <c:tx>
            <c:strRef>
              <c:f>Formulas!$AC$43</c:f>
              <c:strCache>
                <c:ptCount val="1"/>
                <c:pt idx="0">
                  <c:v>New $/PH Exit</c:v>
                </c:pt>
              </c:strCache>
            </c:strRef>
          </c:tx>
          <c:invertIfNegative val="0"/>
          <c:dLbls>
            <c:dLbl>
              <c:idx val="0"/>
              <c:tx>
                <c:strRef>
                  <c:f>Formulas!$AD$44</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{4C04303A-BE41-410C-96FA-B3884DB3F958}</c15:txfldGUID>
                      <c15:f>Formulas!$AD$44</c15:f>
                      <c15:dlblFieldTableCache>
                        <c:ptCount val="1"/>
                      </c15:dlblFieldTableCache>
                    </c15:dlblFTEntry>
                  </c15:dlblFieldTable>
                  <c15:showDataLabelsRange val="0"/>
                </c:ext>
              </c:extLst>
            </c:dLbl>
            <c:dLbl>
              <c:idx val="1"/>
              <c:tx>
                <c:strRef>
                  <c:f>Formulas!$AD$45</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{F4F26F69-066C-4392-BD73-1A94C69EF4A6}</c15:txfldGUID>
                      <c15:f>Formulas!$AD$45</c15:f>
                      <c15:dlblFieldTableCache>
                        <c:ptCount val="1"/>
                      </c15:dlblFieldTableCache>
                    </c15:dlblFTEntry>
                  </c15:dlblFieldTable>
                  <c15:showDataLabelsRange val="0"/>
                </c:ext>
              </c:extLst>
            </c:dLbl>
            <c:dLbl>
              <c:idx val="2"/>
              <c:tx>
                <c:strRef>
                  <c:f>Formulas!$AD$46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{21C1C7A2-B26D-467A-91E4-6416CD0EBA6B}</c15:txfldGUID>
                      <c15:f>Formulas!$AD$46</c15:f>
                      <c15:dlblFieldTableCache>
                        <c:ptCount val="1"/>
                      </c15:dlblFieldTableCache>
                    </c15:dlblFTEntry>
                  </c15:dlblFieldTable>
                  <c15:showDataLabelsRange val="0"/>
                </c:ext>
              </c:extLst>
            </c:dLbl>
            <c:dLbl>
              <c:idx val="3"/>
              <c:tx>
                <c:strRef>
                  <c:f>Formulas!$AD$47</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{ABC2613E-1B73-441B-9EAE-407F6154CB4B}</c15:txfldGUID>
                      <c15:f>Formulas!$AD$47</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Formulas!$AA$44:$AA$47</c:f>
              <c:strCache>
                <c:ptCount val="4"/>
                <c:pt idx="0">
                  <c:v>ES</c:v>
                </c:pt>
                <c:pt idx="1">
                  <c:v>TH</c:v>
                </c:pt>
                <c:pt idx="2">
                  <c:v>RR</c:v>
                </c:pt>
                <c:pt idx="3">
                  <c:v>All Programs</c:v>
                </c:pt>
              </c:strCache>
            </c:strRef>
          </c:cat>
          <c:val>
            <c:numRef>
              <c:f>Formulas!$AC$44:$AC$47</c:f>
              <c:numCache>
                <c:formatCode>"$"#,##0</c:formatCode>
                <c:ptCount val="4"/>
                <c:pt idx="0">
                  <c:v>8759</c:v>
                </c:pt>
                <c:pt idx="1">
                  <c:v>18987</c:v>
                </c:pt>
                <c:pt idx="2">
                  <c:v>3617</c:v>
                </c:pt>
                <c:pt idx="3">
                  <c:v>10454</c:v>
                </c:pt>
              </c:numCache>
            </c:numRef>
          </c:val>
        </c:ser>
        <c:dLbls>
          <c:showLegendKey val="0"/>
          <c:showVal val="1"/>
          <c:showCatName val="0"/>
          <c:showSerName val="0"/>
          <c:showPercent val="0"/>
          <c:showBubbleSize val="0"/>
        </c:dLbls>
        <c:gapWidth val="75"/>
        <c:axId val="605560728"/>
        <c:axId val="605561120"/>
      </c:barChart>
      <c:barChart>
        <c:barDir val="col"/>
        <c:grouping val="clustered"/>
        <c:varyColors val="0"/>
        <c:ser>
          <c:idx val="2"/>
          <c:order val="2"/>
          <c:tx>
            <c:strRef>
              <c:f>Formulas!$AE$43</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Formulas!$AA$44:$AA$47</c:f>
              <c:strCache>
                <c:ptCount val="4"/>
                <c:pt idx="0">
                  <c:v>ES</c:v>
                </c:pt>
                <c:pt idx="1">
                  <c:v>TH</c:v>
                </c:pt>
                <c:pt idx="2">
                  <c:v>RR</c:v>
                </c:pt>
                <c:pt idx="3">
                  <c:v>All Programs</c:v>
                </c:pt>
              </c:strCache>
            </c:strRef>
          </c:cat>
          <c:val>
            <c:numRef>
              <c:f>Formulas!$AE$44:$AE$47</c:f>
              <c:numCache>
                <c:formatCode>"$"#,##0</c:formatCode>
                <c:ptCount val="4"/>
                <c:pt idx="0">
                  <c:v>8759</c:v>
                </c:pt>
                <c:pt idx="1">
                  <c:v>18987</c:v>
                </c:pt>
                <c:pt idx="2">
                  <c:v>3617</c:v>
                </c:pt>
                <c:pt idx="3">
                  <c:v>10454</c:v>
                </c:pt>
              </c:numCache>
            </c:numRef>
          </c:val>
        </c:ser>
        <c:ser>
          <c:idx val="3"/>
          <c:order val="3"/>
          <c:tx>
            <c:strRef>
              <c:f>Formulas!$AF$43</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Formulas!$AA$44:$AA$47</c:f>
              <c:strCache>
                <c:ptCount val="4"/>
                <c:pt idx="0">
                  <c:v>ES</c:v>
                </c:pt>
                <c:pt idx="1">
                  <c:v>TH</c:v>
                </c:pt>
                <c:pt idx="2">
                  <c:v>RR</c:v>
                </c:pt>
                <c:pt idx="3">
                  <c:v>All Programs</c:v>
                </c:pt>
              </c:strCache>
            </c:strRef>
          </c:cat>
          <c:val>
            <c:numRef>
              <c:f>Formulas!$AF$44:$AF$47</c:f>
              <c:numCache>
                <c:formatCode>"$"#,##0</c:formatCode>
                <c:ptCount val="4"/>
                <c:pt idx="0">
                  <c:v>8759</c:v>
                </c:pt>
                <c:pt idx="1">
                  <c:v>18987</c:v>
                </c:pt>
                <c:pt idx="2">
                  <c:v>3617</c:v>
                </c:pt>
                <c:pt idx="3">
                  <c:v>10454</c:v>
                </c:pt>
              </c:numCache>
            </c:numRef>
          </c:val>
        </c:ser>
        <c:dLbls>
          <c:showLegendKey val="0"/>
          <c:showVal val="0"/>
          <c:showCatName val="0"/>
          <c:showSerName val="0"/>
          <c:showPercent val="0"/>
          <c:showBubbleSize val="0"/>
        </c:dLbls>
        <c:gapWidth val="75"/>
        <c:axId val="596952912"/>
        <c:axId val="596954088"/>
      </c:barChart>
      <c:catAx>
        <c:axId val="605560728"/>
        <c:scaling>
          <c:orientation val="minMax"/>
        </c:scaling>
        <c:delete val="0"/>
        <c:axPos val="b"/>
        <c:numFmt formatCode="General" sourceLinked="0"/>
        <c:majorTickMark val="none"/>
        <c:minorTickMark val="none"/>
        <c:tickLblPos val="nextTo"/>
        <c:crossAx val="605561120"/>
        <c:crosses val="autoZero"/>
        <c:auto val="1"/>
        <c:lblAlgn val="ctr"/>
        <c:lblOffset val="100"/>
        <c:noMultiLvlLbl val="0"/>
      </c:catAx>
      <c:valAx>
        <c:axId val="605561120"/>
        <c:scaling>
          <c:orientation val="minMax"/>
        </c:scaling>
        <c:delete val="0"/>
        <c:axPos val="l"/>
        <c:majorGridlines/>
        <c:numFmt formatCode="&quot;$&quot;#,##0" sourceLinked="1"/>
        <c:majorTickMark val="none"/>
        <c:minorTickMark val="none"/>
        <c:tickLblPos val="nextTo"/>
        <c:crossAx val="605560728"/>
        <c:crosses val="autoZero"/>
        <c:crossBetween val="between"/>
      </c:valAx>
      <c:valAx>
        <c:axId val="596954088"/>
        <c:scaling>
          <c:orientation val="minMax"/>
        </c:scaling>
        <c:delete val="1"/>
        <c:axPos val="r"/>
        <c:numFmt formatCode="&quot;$&quot;#,##0" sourceLinked="1"/>
        <c:majorTickMark val="out"/>
        <c:minorTickMark val="none"/>
        <c:tickLblPos val="none"/>
        <c:crossAx val="596952912"/>
        <c:crosses val="max"/>
        <c:crossBetween val="between"/>
      </c:valAx>
      <c:catAx>
        <c:axId val="596952912"/>
        <c:scaling>
          <c:orientation val="minMax"/>
        </c:scaling>
        <c:delete val="1"/>
        <c:axPos val="b"/>
        <c:numFmt formatCode="General" sourceLinked="1"/>
        <c:majorTickMark val="out"/>
        <c:minorTickMark val="none"/>
        <c:tickLblPos val="none"/>
        <c:crossAx val="596954088"/>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8.134056103339326E-4"/>
          <c:y val="0.91628280839894949"/>
          <c:w val="0.47018000874890636"/>
          <c:h val="8.3717191601050026E-2"/>
        </c:manualLayout>
      </c:layout>
      <c:overlay val="0"/>
    </c:legend>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Formulas!$Z$56</c:f>
          <c:strCache>
            <c:ptCount val="1"/>
            <c:pt idx="0">
              <c:v>7C. Change in Average Cost per Permanent Housing Exit
All Households</c:v>
            </c:pt>
          </c:strCache>
        </c:strRef>
      </c:tx>
      <c:layout>
        <c:manualLayout>
          <c:xMode val="edge"/>
          <c:yMode val="edge"/>
          <c:x val="2.1465796651589002E-3"/>
          <c:y val="4.6296296296296693E-3"/>
        </c:manualLayout>
      </c:layout>
      <c:overlay val="0"/>
      <c:txPr>
        <a:bodyPr/>
        <a:lstStyle/>
        <a:p>
          <a:pPr algn="l">
            <a:defRPr sz="1200"/>
          </a:pPr>
          <a:endParaRPr lang="en-US"/>
        </a:p>
      </c:txPr>
    </c:title>
    <c:autoTitleDeleted val="0"/>
    <c:plotArea>
      <c:layout>
        <c:manualLayout>
          <c:layoutTarget val="inner"/>
          <c:xMode val="edge"/>
          <c:yMode val="edge"/>
          <c:x val="0.13525240594925633"/>
          <c:y val="0.18607648002333188"/>
          <c:w val="0.83419203849519719"/>
          <c:h val="0.6317960775736432"/>
        </c:manualLayout>
      </c:layout>
      <c:barChart>
        <c:barDir val="col"/>
        <c:grouping val="clustered"/>
        <c:varyColors val="0"/>
        <c:ser>
          <c:idx val="0"/>
          <c:order val="0"/>
          <c:tx>
            <c:strRef>
              <c:f>Formulas!$AB$55</c:f>
              <c:strCache>
                <c:ptCount val="1"/>
                <c:pt idx="0">
                  <c:v>Current $/PH Exit</c:v>
                </c:pt>
              </c:strCache>
            </c:strRef>
          </c:tx>
          <c:invertIfNegative val="0"/>
          <c:dLbls>
            <c:delete val="1"/>
          </c:dLbls>
          <c:cat>
            <c:strRef>
              <c:f>Formulas!$AA$56:$AA$59</c:f>
              <c:strCache>
                <c:ptCount val="4"/>
                <c:pt idx="0">
                  <c:v>ES</c:v>
                </c:pt>
                <c:pt idx="1">
                  <c:v>TH</c:v>
                </c:pt>
                <c:pt idx="2">
                  <c:v>RR</c:v>
                </c:pt>
                <c:pt idx="3">
                  <c:v>All Programs</c:v>
                </c:pt>
              </c:strCache>
            </c:strRef>
          </c:cat>
          <c:val>
            <c:numRef>
              <c:f>Formulas!$AB$56:$AB$59</c:f>
              <c:numCache>
                <c:formatCode>"$"#,##0</c:formatCode>
                <c:ptCount val="4"/>
                <c:pt idx="0">
                  <c:v>7960</c:v>
                </c:pt>
                <c:pt idx="1">
                  <c:v>18750</c:v>
                </c:pt>
                <c:pt idx="2">
                  <c:v>4308</c:v>
                </c:pt>
                <c:pt idx="3">
                  <c:v>10339</c:v>
                </c:pt>
              </c:numCache>
            </c:numRef>
          </c:val>
        </c:ser>
        <c:ser>
          <c:idx val="1"/>
          <c:order val="1"/>
          <c:tx>
            <c:strRef>
              <c:f>Formulas!$AC$55</c:f>
              <c:strCache>
                <c:ptCount val="1"/>
                <c:pt idx="0">
                  <c:v>New $/PH Exit</c:v>
                </c:pt>
              </c:strCache>
            </c:strRef>
          </c:tx>
          <c:invertIfNegative val="0"/>
          <c:dLbls>
            <c:dLbl>
              <c:idx val="0"/>
              <c:tx>
                <c:strRef>
                  <c:f>Formulas!$AD$56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{1070A40F-BFE0-493E-B342-FD841BD4D95D}</c15:txfldGUID>
                      <c15:f>Formulas!$AD$56</c15:f>
                      <c15:dlblFieldTableCache>
                        <c:ptCount val="1"/>
                      </c15:dlblFieldTableCache>
                    </c15:dlblFTEntry>
                  </c15:dlblFieldTable>
                  <c15:showDataLabelsRange val="0"/>
                </c:ext>
              </c:extLst>
            </c:dLbl>
            <c:dLbl>
              <c:idx val="1"/>
              <c:tx>
                <c:strRef>
                  <c:f>Formulas!$AD$57</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{C1B02D55-8A48-4F3F-AAF8-2B6297F31DC4}</c15:txfldGUID>
                      <c15:f>Formulas!$AD$57</c15:f>
                      <c15:dlblFieldTableCache>
                        <c:ptCount val="1"/>
                      </c15:dlblFieldTableCache>
                    </c15:dlblFTEntry>
                  </c15:dlblFieldTable>
                  <c15:showDataLabelsRange val="0"/>
                </c:ext>
              </c:extLst>
            </c:dLbl>
            <c:dLbl>
              <c:idx val="2"/>
              <c:tx>
                <c:strRef>
                  <c:f>Formulas!$AD$58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{FD22E8DE-5E67-4206-9E58-5646D7EC432F}</c15:txfldGUID>
                      <c15:f>Formulas!$AD$58</c15:f>
                      <c15:dlblFieldTableCache>
                        <c:ptCount val="1"/>
                      </c15:dlblFieldTableCache>
                    </c15:dlblFTEntry>
                  </c15:dlblFieldTable>
                  <c15:showDataLabelsRange val="0"/>
                </c:ext>
              </c:extLst>
            </c:dLbl>
            <c:dLbl>
              <c:idx val="3"/>
              <c:tx>
                <c:strRef>
                  <c:f>Formulas!$AD$59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{A8F1ABEE-9A7B-4CBA-869F-75801FFD116A}</c15:txfldGUID>
                      <c15:f>Formulas!$AD$59</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Formulas!$AA$56:$AA$59</c:f>
              <c:strCache>
                <c:ptCount val="4"/>
                <c:pt idx="0">
                  <c:v>ES</c:v>
                </c:pt>
                <c:pt idx="1">
                  <c:v>TH</c:v>
                </c:pt>
                <c:pt idx="2">
                  <c:v>RR</c:v>
                </c:pt>
                <c:pt idx="3">
                  <c:v>All Programs</c:v>
                </c:pt>
              </c:strCache>
            </c:strRef>
          </c:cat>
          <c:val>
            <c:numRef>
              <c:f>Formulas!$AC$56:$AC$59</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596953304"/>
        <c:axId val="596955264"/>
      </c:barChart>
      <c:barChart>
        <c:barDir val="col"/>
        <c:grouping val="clustered"/>
        <c:varyColors val="0"/>
        <c:ser>
          <c:idx val="2"/>
          <c:order val="2"/>
          <c:tx>
            <c:strRef>
              <c:f>Formulas!$AE$55</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Formulas!$AA$56:$AA$59</c:f>
              <c:strCache>
                <c:ptCount val="4"/>
                <c:pt idx="0">
                  <c:v>ES</c:v>
                </c:pt>
                <c:pt idx="1">
                  <c:v>TH</c:v>
                </c:pt>
                <c:pt idx="2">
                  <c:v>RR</c:v>
                </c:pt>
                <c:pt idx="3">
                  <c:v>All Programs</c:v>
                </c:pt>
              </c:strCache>
            </c:strRef>
          </c:cat>
          <c:val>
            <c:numRef>
              <c:f>Formulas!$AE$56:$AE$59</c:f>
              <c:numCache>
                <c:formatCode>"$"#,##0</c:formatCode>
                <c:ptCount val="4"/>
                <c:pt idx="0">
                  <c:v>7960</c:v>
                </c:pt>
                <c:pt idx="1">
                  <c:v>18750</c:v>
                </c:pt>
                <c:pt idx="2">
                  <c:v>4308</c:v>
                </c:pt>
                <c:pt idx="3">
                  <c:v>10339</c:v>
                </c:pt>
              </c:numCache>
            </c:numRef>
          </c:val>
        </c:ser>
        <c:ser>
          <c:idx val="3"/>
          <c:order val="3"/>
          <c:tx>
            <c:strRef>
              <c:f>Formulas!$AF$55</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Formulas!$AA$56:$AA$59</c:f>
              <c:strCache>
                <c:ptCount val="4"/>
                <c:pt idx="0">
                  <c:v>ES</c:v>
                </c:pt>
                <c:pt idx="1">
                  <c:v>TH</c:v>
                </c:pt>
                <c:pt idx="2">
                  <c:v>RR</c:v>
                </c:pt>
                <c:pt idx="3">
                  <c:v>All Programs</c:v>
                </c:pt>
              </c:strCache>
            </c:strRef>
          </c:cat>
          <c:val>
            <c:numRef>
              <c:f>Formulas!$AF$56:$AF$59</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596953696"/>
        <c:axId val="596952520"/>
      </c:barChart>
      <c:catAx>
        <c:axId val="596953304"/>
        <c:scaling>
          <c:orientation val="minMax"/>
        </c:scaling>
        <c:delete val="0"/>
        <c:axPos val="b"/>
        <c:numFmt formatCode="General" sourceLinked="0"/>
        <c:majorTickMark val="none"/>
        <c:minorTickMark val="none"/>
        <c:tickLblPos val="nextTo"/>
        <c:crossAx val="596955264"/>
        <c:crosses val="autoZero"/>
        <c:auto val="1"/>
        <c:lblAlgn val="ctr"/>
        <c:lblOffset val="100"/>
        <c:noMultiLvlLbl val="0"/>
      </c:catAx>
      <c:valAx>
        <c:axId val="596955264"/>
        <c:scaling>
          <c:orientation val="minMax"/>
        </c:scaling>
        <c:delete val="0"/>
        <c:axPos val="l"/>
        <c:majorGridlines/>
        <c:numFmt formatCode="&quot;$&quot;#,##0" sourceLinked="1"/>
        <c:majorTickMark val="none"/>
        <c:minorTickMark val="none"/>
        <c:tickLblPos val="nextTo"/>
        <c:crossAx val="596953304"/>
        <c:crosses val="autoZero"/>
        <c:crossBetween val="between"/>
      </c:valAx>
      <c:valAx>
        <c:axId val="596952520"/>
        <c:scaling>
          <c:orientation val="minMax"/>
        </c:scaling>
        <c:delete val="1"/>
        <c:axPos val="r"/>
        <c:numFmt formatCode="&quot;$&quot;#,##0" sourceLinked="1"/>
        <c:majorTickMark val="out"/>
        <c:minorTickMark val="none"/>
        <c:tickLblPos val="none"/>
        <c:crossAx val="596953696"/>
        <c:crosses val="max"/>
        <c:crossBetween val="between"/>
      </c:valAx>
      <c:catAx>
        <c:axId val="596953696"/>
        <c:scaling>
          <c:orientation val="minMax"/>
        </c:scaling>
        <c:delete val="1"/>
        <c:axPos val="b"/>
        <c:numFmt formatCode="General" sourceLinked="1"/>
        <c:majorTickMark val="out"/>
        <c:minorTickMark val="none"/>
        <c:tickLblPos val="none"/>
        <c:crossAx val="59695252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046"/>
          <c:y val="0.90702354913969052"/>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6" l="0.70000000000000062" r="0.70000000000000062" t="0.75000000000000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Formulas!$L$26</c:f>
          <c:strCache>
            <c:ptCount val="1"/>
            <c:pt idx="0">
              <c:v>9A. Change in Permanent Housing Exits
Single Adults</c:v>
            </c:pt>
          </c:strCache>
        </c:strRef>
      </c:tx>
      <c:layout>
        <c:manualLayout>
          <c:xMode val="edge"/>
          <c:yMode val="edge"/>
          <c:x val="8.8775997290368395E-3"/>
          <c:y val="1.8518518518518583E-2"/>
        </c:manualLayout>
      </c:layout>
      <c:overlay val="1"/>
      <c:txPr>
        <a:bodyPr/>
        <a:lstStyle/>
        <a:p>
          <a:pPr algn="l">
            <a:defRPr sz="1200"/>
          </a:pPr>
          <a:endParaRPr lang="en-US"/>
        </a:p>
      </c:txPr>
    </c:title>
    <c:autoTitleDeleted val="0"/>
    <c:plotArea>
      <c:layout>
        <c:manualLayout>
          <c:layoutTarget val="inner"/>
          <c:xMode val="edge"/>
          <c:yMode val="edge"/>
          <c:x val="8.6071741032370933E-2"/>
          <c:y val="0.22732648002333186"/>
          <c:w val="0.88337270341207352"/>
          <c:h val="0.58686533974919797"/>
        </c:manualLayout>
      </c:layout>
      <c:barChart>
        <c:barDir val="col"/>
        <c:grouping val="clustered"/>
        <c:varyColors val="0"/>
        <c:ser>
          <c:idx val="2"/>
          <c:order val="2"/>
          <c:tx>
            <c:strRef>
              <c:f>Formulas!$Q$25</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Formulas!$M$26:$M$29</c:f>
              <c:strCache>
                <c:ptCount val="4"/>
                <c:pt idx="0">
                  <c:v>ES</c:v>
                </c:pt>
                <c:pt idx="1">
                  <c:v>TH</c:v>
                </c:pt>
                <c:pt idx="2">
                  <c:v>RR</c:v>
                </c:pt>
                <c:pt idx="3">
                  <c:v>All Programs</c:v>
                </c:pt>
              </c:strCache>
            </c:strRef>
          </c:cat>
          <c:val>
            <c:numRef>
              <c:f>Formulas!$Q$26:$Q$29</c:f>
              <c:numCache>
                <c:formatCode>#,##0</c:formatCode>
                <c:ptCount val="4"/>
                <c:pt idx="0">
                  <c:v>265</c:v>
                </c:pt>
                <c:pt idx="1">
                  <c:v>98</c:v>
                </c:pt>
                <c:pt idx="2">
                  <c:v>112</c:v>
                </c:pt>
                <c:pt idx="3">
                  <c:v>475</c:v>
                </c:pt>
              </c:numCache>
            </c:numRef>
          </c:val>
        </c:ser>
        <c:ser>
          <c:idx val="3"/>
          <c:order val="3"/>
          <c:tx>
            <c:strRef>
              <c:f>Formulas!$R$25</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Formulas!$M$26:$M$29</c:f>
              <c:strCache>
                <c:ptCount val="4"/>
                <c:pt idx="0">
                  <c:v>ES</c:v>
                </c:pt>
                <c:pt idx="1">
                  <c:v>TH</c:v>
                </c:pt>
                <c:pt idx="2">
                  <c:v>RR</c:v>
                </c:pt>
                <c:pt idx="3">
                  <c:v>All Programs</c:v>
                </c:pt>
              </c:strCache>
            </c:strRef>
          </c:cat>
          <c:val>
            <c:numRef>
              <c:f>Formulas!$R$26:$R$29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150"/>
        <c:axId val="596952128"/>
        <c:axId val="606536416"/>
      </c:barChart>
      <c:barChart>
        <c:barDir val="col"/>
        <c:grouping val="clustered"/>
        <c:varyColors val="0"/>
        <c:ser>
          <c:idx val="0"/>
          <c:order val="0"/>
          <c:tx>
            <c:strRef>
              <c:f>Formulas!$N$25</c:f>
              <c:strCache>
                <c:ptCount val="1"/>
                <c:pt idx="0">
                  <c:v>Current PH Exits</c:v>
                </c:pt>
              </c:strCache>
            </c:strRef>
          </c:tx>
          <c:invertIfNegative val="0"/>
          <c:dLbls>
            <c:delete val="1"/>
          </c:dLbls>
          <c:cat>
            <c:strRef>
              <c:f>Formulas!$M$26:$M$29</c:f>
              <c:strCache>
                <c:ptCount val="4"/>
                <c:pt idx="0">
                  <c:v>ES</c:v>
                </c:pt>
                <c:pt idx="1">
                  <c:v>TH</c:v>
                </c:pt>
                <c:pt idx="2">
                  <c:v>RR</c:v>
                </c:pt>
                <c:pt idx="3">
                  <c:v>All Programs</c:v>
                </c:pt>
              </c:strCache>
            </c:strRef>
          </c:cat>
          <c:val>
            <c:numRef>
              <c:f>Formulas!$N$26:$N$29</c:f>
              <c:numCache>
                <c:formatCode>#,##0</c:formatCode>
                <c:ptCount val="4"/>
                <c:pt idx="0">
                  <c:v>265</c:v>
                </c:pt>
                <c:pt idx="1">
                  <c:v>98</c:v>
                </c:pt>
                <c:pt idx="2">
                  <c:v>112</c:v>
                </c:pt>
                <c:pt idx="3">
                  <c:v>475</c:v>
                </c:pt>
              </c:numCache>
            </c:numRef>
          </c:val>
        </c:ser>
        <c:ser>
          <c:idx val="1"/>
          <c:order val="1"/>
          <c:tx>
            <c:strRef>
              <c:f>Formulas!$O$25</c:f>
              <c:strCache>
                <c:ptCount val="1"/>
                <c:pt idx="0">
                  <c:v>New PH Exits</c:v>
                </c:pt>
              </c:strCache>
            </c:strRef>
          </c:tx>
          <c:invertIfNegative val="0"/>
          <c:dLbls>
            <c:dLbl>
              <c:idx val="0"/>
              <c:tx>
                <c:strRef>
                  <c:f>Formulas!$P$26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{FE6AEE61-414D-4777-8F42-5B7435314D9E}</c15:txfldGUID>
                      <c15:f>Formulas!$P$26</c15:f>
                      <c15:dlblFieldTableCache>
                        <c:ptCount val="1"/>
                      </c15:dlblFieldTableCache>
                    </c15:dlblFTEntry>
                  </c15:dlblFieldTable>
                  <c15:showDataLabelsRange val="0"/>
                </c:ext>
              </c:extLst>
            </c:dLbl>
            <c:dLbl>
              <c:idx val="1"/>
              <c:tx>
                <c:strRef>
                  <c:f>Formulas!$P$27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{F5CB70D8-794D-4F84-BAB6-2A417963189C}</c15:txfldGUID>
                      <c15:f>Formulas!$P$27</c15:f>
                      <c15:dlblFieldTableCache>
                        <c:ptCount val="1"/>
                      </c15:dlblFieldTableCache>
                    </c15:dlblFTEntry>
                  </c15:dlblFieldTable>
                  <c15:showDataLabelsRange val="0"/>
                </c:ext>
              </c:extLst>
            </c:dLbl>
            <c:dLbl>
              <c:idx val="2"/>
              <c:tx>
                <c:strRef>
                  <c:f>Formulas!$P$28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{65A9A777-0A53-4B33-B18E-6DC671E6853D}</c15:txfldGUID>
                      <c15:f>Formulas!$P$28</c15:f>
                      <c15:dlblFieldTableCache>
                        <c:ptCount val="1"/>
                      </c15:dlblFieldTableCache>
                    </c15:dlblFTEntry>
                  </c15:dlblFieldTable>
                  <c15:showDataLabelsRange val="0"/>
                </c:ext>
              </c:extLst>
            </c:dLbl>
            <c:dLbl>
              <c:idx val="3"/>
              <c:tx>
                <c:strRef>
                  <c:f>Formulas!$P$29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{BB2047CF-06F2-43AE-9276-89E876E0DDF6}</c15:txfldGUID>
                      <c15:f>Formulas!$P$29</c15:f>
                      <c15:dlblFieldTableCache>
                        <c:ptCount val="1"/>
                      </c15:dlblFieldTableCache>
                    </c15:dlblFTEntry>
                  </c15:dlblFieldTable>
                  <c15:showDataLabelsRange val="0"/>
                </c:ext>
              </c:extLst>
            </c:dLbl>
            <c:spPr>
              <a:noFill/>
              <a:ln>
                <a:noFill/>
              </a:ln>
              <a:effectLst/>
            </c:spPr>
            <c:txPr>
              <a:bodyPr/>
              <a:lstStyle/>
              <a:p>
                <a:pPr>
                  <a:defRPr sz="12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Formulas!$M$26:$M$29</c:f>
              <c:strCache>
                <c:ptCount val="4"/>
                <c:pt idx="0">
                  <c:v>ES</c:v>
                </c:pt>
                <c:pt idx="1">
                  <c:v>TH</c:v>
                </c:pt>
                <c:pt idx="2">
                  <c:v>RR</c:v>
                </c:pt>
                <c:pt idx="3">
                  <c:v>All Programs</c:v>
                </c:pt>
              </c:strCache>
            </c:strRef>
          </c:cat>
          <c:val>
            <c:numRef>
              <c:f>Formulas!$O$26:$O$29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75"/>
        <c:axId val="606538376"/>
        <c:axId val="606536024"/>
      </c:barChart>
      <c:catAx>
        <c:axId val="596952128"/>
        <c:scaling>
          <c:orientation val="minMax"/>
        </c:scaling>
        <c:delete val="0"/>
        <c:axPos val="b"/>
        <c:numFmt formatCode="General" sourceLinked="0"/>
        <c:majorTickMark val="out"/>
        <c:minorTickMark val="none"/>
        <c:tickLblPos val="nextTo"/>
        <c:crossAx val="606536416"/>
        <c:crosses val="autoZero"/>
        <c:auto val="1"/>
        <c:lblAlgn val="ctr"/>
        <c:lblOffset val="100"/>
        <c:noMultiLvlLbl val="0"/>
      </c:catAx>
      <c:valAx>
        <c:axId val="606536416"/>
        <c:scaling>
          <c:orientation val="minMax"/>
        </c:scaling>
        <c:delete val="0"/>
        <c:axPos val="l"/>
        <c:majorGridlines/>
        <c:numFmt formatCode="#,##0" sourceLinked="1"/>
        <c:majorTickMark val="out"/>
        <c:minorTickMark val="none"/>
        <c:tickLblPos val="nextTo"/>
        <c:crossAx val="596952128"/>
        <c:crosses val="autoZero"/>
        <c:crossBetween val="between"/>
      </c:valAx>
      <c:valAx>
        <c:axId val="606536024"/>
        <c:scaling>
          <c:orientation val="minMax"/>
        </c:scaling>
        <c:delete val="1"/>
        <c:axPos val="r"/>
        <c:numFmt formatCode="#,##0" sourceLinked="1"/>
        <c:majorTickMark val="out"/>
        <c:minorTickMark val="none"/>
        <c:tickLblPos val="none"/>
        <c:crossAx val="606538376"/>
        <c:crosses val="max"/>
        <c:crossBetween val="between"/>
      </c:valAx>
      <c:catAx>
        <c:axId val="606538376"/>
        <c:scaling>
          <c:orientation val="minMax"/>
        </c:scaling>
        <c:delete val="1"/>
        <c:axPos val="b"/>
        <c:numFmt formatCode="General" sourceLinked="1"/>
        <c:majorTickMark val="out"/>
        <c:minorTickMark val="none"/>
        <c:tickLblPos val="none"/>
        <c:crossAx val="606536024"/>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5935433070866148"/>
          <c:y val="0.91628280839894949"/>
          <c:w val="0.47018000874890636"/>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Formulas!$L$32</c:f>
          <c:strCache>
            <c:ptCount val="1"/>
            <c:pt idx="0">
              <c:v>10A. Change in Average Cost per Permanent Housing Exit
Single Adults</c:v>
            </c:pt>
          </c:strCache>
        </c:strRef>
      </c:tx>
      <c:layout>
        <c:manualLayout>
          <c:xMode val="edge"/>
          <c:yMode val="edge"/>
          <c:x val="6.6926953997672994E-3"/>
          <c:y val="8.4925661626073495E-3"/>
        </c:manualLayout>
      </c:layout>
      <c:overlay val="0"/>
      <c:txPr>
        <a:bodyPr/>
        <a:lstStyle/>
        <a:p>
          <a:pPr algn="l">
            <a:defRPr sz="1200"/>
          </a:pPr>
          <a:endParaRPr lang="en-US"/>
        </a:p>
      </c:txPr>
    </c:title>
    <c:autoTitleDeleted val="0"/>
    <c:plotArea>
      <c:layout/>
      <c:barChart>
        <c:barDir val="col"/>
        <c:grouping val="clustered"/>
        <c:varyColors val="0"/>
        <c:ser>
          <c:idx val="0"/>
          <c:order val="0"/>
          <c:tx>
            <c:strRef>
              <c:f>Formulas!$N$31</c:f>
              <c:strCache>
                <c:ptCount val="1"/>
                <c:pt idx="0">
                  <c:v>Current $/PH Exit</c:v>
                </c:pt>
              </c:strCache>
            </c:strRef>
          </c:tx>
          <c:invertIfNegative val="0"/>
          <c:dLbls>
            <c:delete val="1"/>
          </c:dLbls>
          <c:cat>
            <c:strRef>
              <c:f>Formulas!$M$32:$M$35</c:f>
              <c:strCache>
                <c:ptCount val="4"/>
                <c:pt idx="0">
                  <c:v>ES</c:v>
                </c:pt>
                <c:pt idx="1">
                  <c:v>TH</c:v>
                </c:pt>
                <c:pt idx="2">
                  <c:v>RR</c:v>
                </c:pt>
                <c:pt idx="3">
                  <c:v>All Programs</c:v>
                </c:pt>
              </c:strCache>
            </c:strRef>
          </c:cat>
          <c:val>
            <c:numRef>
              <c:f>Formulas!$N$32:$N$35</c:f>
              <c:numCache>
                <c:formatCode>"$"#,##0</c:formatCode>
                <c:ptCount val="4"/>
                <c:pt idx="0">
                  <c:v>7547</c:v>
                </c:pt>
                <c:pt idx="1">
                  <c:v>18367</c:v>
                </c:pt>
                <c:pt idx="2">
                  <c:v>5758</c:v>
                </c:pt>
                <c:pt idx="3">
                  <c:v>10557.333333333334</c:v>
                </c:pt>
              </c:numCache>
            </c:numRef>
          </c:val>
        </c:ser>
        <c:ser>
          <c:idx val="1"/>
          <c:order val="1"/>
          <c:tx>
            <c:strRef>
              <c:f>Formulas!$O$31</c:f>
              <c:strCache>
                <c:ptCount val="1"/>
                <c:pt idx="0">
                  <c:v>New $/PH Exit</c:v>
                </c:pt>
              </c:strCache>
            </c:strRef>
          </c:tx>
          <c:invertIfNegative val="0"/>
          <c:dLbls>
            <c:dLbl>
              <c:idx val="0"/>
              <c:tx>
                <c:strRef>
                  <c:f>Formulas!$P$32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{D2E61890-94B5-47EB-ACE7-52AB5BF9BD64}</c15:txfldGUID>
                      <c15:f>Formulas!$P$32</c15:f>
                      <c15:dlblFieldTableCache>
                        <c:ptCount val="1"/>
                      </c15:dlblFieldTableCache>
                    </c15:dlblFTEntry>
                  </c15:dlblFieldTable>
                  <c15:showDataLabelsRange val="0"/>
                </c:ext>
              </c:extLst>
            </c:dLbl>
            <c:dLbl>
              <c:idx val="1"/>
              <c:tx>
                <c:strRef>
                  <c:f>Formulas!$P$33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{375B1362-9008-473C-94D6-867642EDC38D}</c15:txfldGUID>
                      <c15:f>Formulas!$P$33</c15:f>
                      <c15:dlblFieldTableCache>
                        <c:ptCount val="1"/>
                      </c15:dlblFieldTableCache>
                    </c15:dlblFTEntry>
                  </c15:dlblFieldTable>
                  <c15:showDataLabelsRange val="0"/>
                </c:ext>
              </c:extLst>
            </c:dLbl>
            <c:dLbl>
              <c:idx val="2"/>
              <c:tx>
                <c:strRef>
                  <c:f>Formulas!$P$34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{07E3BD66-0A3F-4A5B-8E8C-86419F00FAAF}</c15:txfldGUID>
                      <c15:f>Formulas!$P$34</c15:f>
                      <c15:dlblFieldTableCache>
                        <c:ptCount val="1"/>
                      </c15:dlblFieldTableCache>
                    </c15:dlblFTEntry>
                  </c15:dlblFieldTable>
                  <c15:showDataLabelsRange val="0"/>
                </c:ext>
              </c:extLst>
            </c:dLbl>
            <c:dLbl>
              <c:idx val="3"/>
              <c:tx>
                <c:strRef>
                  <c:f>Formulas!$P$35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{1CFE1DD9-8905-4F68-B03C-2B1B73676975}</c15:txfldGUID>
                      <c15:f>Formulas!$P$35</c15:f>
                      <c15:dlblFieldTableCache>
                        <c:ptCount val="1"/>
                      </c15:dlblFieldTableCache>
                    </c15:dlblFTEntry>
                  </c15:dlblFieldTable>
                  <c15:showDataLabelsRange val="0"/>
                </c:ext>
              </c:extLst>
            </c:dLbl>
            <c:spPr>
              <a:noFill/>
              <a:ln>
                <a:noFill/>
              </a:ln>
              <a:effectLst/>
            </c:spPr>
            <c:txPr>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Formulas!$M$32:$M$35</c:f>
              <c:strCache>
                <c:ptCount val="4"/>
                <c:pt idx="0">
                  <c:v>ES</c:v>
                </c:pt>
                <c:pt idx="1">
                  <c:v>TH</c:v>
                </c:pt>
                <c:pt idx="2">
                  <c:v>RR</c:v>
                </c:pt>
                <c:pt idx="3">
                  <c:v>All Programs</c:v>
                </c:pt>
              </c:strCache>
            </c:strRef>
          </c:cat>
          <c:val>
            <c:numRef>
              <c:f>Formulas!$O$32:$O$35</c:f>
              <c:numCache>
                <c:formatCode>"$"#,##0</c:formatCode>
                <c:ptCount val="4"/>
                <c:pt idx="0">
                  <c:v>7547</c:v>
                </c:pt>
                <c:pt idx="1">
                  <c:v>18367</c:v>
                </c:pt>
                <c:pt idx="2">
                  <c:v>5758</c:v>
                </c:pt>
                <c:pt idx="3">
                  <c:v>10557.333333333334</c:v>
                </c:pt>
              </c:numCache>
            </c:numRef>
          </c:val>
        </c:ser>
        <c:dLbls>
          <c:showLegendKey val="0"/>
          <c:showVal val="1"/>
          <c:showCatName val="0"/>
          <c:showSerName val="0"/>
          <c:showPercent val="0"/>
          <c:showBubbleSize val="0"/>
        </c:dLbls>
        <c:gapWidth val="75"/>
        <c:axId val="606538768"/>
        <c:axId val="606535240"/>
      </c:barChart>
      <c:barChart>
        <c:barDir val="col"/>
        <c:grouping val="clustered"/>
        <c:varyColors val="0"/>
        <c:ser>
          <c:idx val="2"/>
          <c:order val="2"/>
          <c:tx>
            <c:strRef>
              <c:f>Formulas!$Q$31</c:f>
              <c:strCache>
                <c:ptCount val="1"/>
                <c:pt idx="0">
                  <c:v>Current PH Exits</c:v>
                </c:pt>
              </c:strCache>
            </c:strRef>
          </c:tx>
          <c:invertIfNegative val="0"/>
          <c:dLbls>
            <c:numFmt formatCode="[&gt;999]&quot;$&quot;#.#,&quot;K&quot;;;;" sourceLinked="0"/>
            <c:spPr>
              <a:noFill/>
              <a:ln>
                <a:noFill/>
              </a:ln>
              <a:effectLst/>
            </c:spPr>
            <c:txPr>
              <a:bodyPr/>
              <a:lstStyle/>
              <a:p>
                <a:pPr>
                  <a:defRPr sz="1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Formulas!$M$32:$M$35</c:f>
              <c:strCache>
                <c:ptCount val="4"/>
                <c:pt idx="0">
                  <c:v>ES</c:v>
                </c:pt>
                <c:pt idx="1">
                  <c:v>TH</c:v>
                </c:pt>
                <c:pt idx="2">
                  <c:v>RR</c:v>
                </c:pt>
                <c:pt idx="3">
                  <c:v>All Programs</c:v>
                </c:pt>
              </c:strCache>
            </c:strRef>
          </c:cat>
          <c:val>
            <c:numRef>
              <c:f>Formulas!$Q$32:$Q$35</c:f>
              <c:numCache>
                <c:formatCode>"$"#,##0</c:formatCode>
                <c:ptCount val="4"/>
                <c:pt idx="0">
                  <c:v>7547</c:v>
                </c:pt>
                <c:pt idx="1">
                  <c:v>18367</c:v>
                </c:pt>
                <c:pt idx="2">
                  <c:v>5758</c:v>
                </c:pt>
                <c:pt idx="3">
                  <c:v>10557.333333333334</c:v>
                </c:pt>
              </c:numCache>
            </c:numRef>
          </c:val>
        </c:ser>
        <c:ser>
          <c:idx val="3"/>
          <c:order val="3"/>
          <c:tx>
            <c:strRef>
              <c:f>Formulas!$R$31</c:f>
              <c:strCache>
                <c:ptCount val="1"/>
                <c:pt idx="0">
                  <c:v>New PH Exits</c:v>
                </c:pt>
              </c:strCache>
            </c:strRef>
          </c:tx>
          <c:invertIfNegative val="0"/>
          <c:dLbls>
            <c:numFmt formatCode="[&gt;999]&quot;$&quot;#.#,&quot;K&quot;;;;" sourceLinked="0"/>
            <c:spPr>
              <a:noFill/>
              <a:ln>
                <a:noFill/>
              </a:ln>
              <a:effectLst/>
            </c:spPr>
            <c:txPr>
              <a:bodyPr/>
              <a:lstStyle/>
              <a:p>
                <a:pPr>
                  <a:defRPr sz="1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Formulas!$M$32:$M$35</c:f>
              <c:strCache>
                <c:ptCount val="4"/>
                <c:pt idx="0">
                  <c:v>ES</c:v>
                </c:pt>
                <c:pt idx="1">
                  <c:v>TH</c:v>
                </c:pt>
                <c:pt idx="2">
                  <c:v>RR</c:v>
                </c:pt>
                <c:pt idx="3">
                  <c:v>All Programs</c:v>
                </c:pt>
              </c:strCache>
            </c:strRef>
          </c:cat>
          <c:val>
            <c:numRef>
              <c:f>Formulas!$R$32:$R$35</c:f>
              <c:numCache>
                <c:formatCode>"$"#,##0</c:formatCode>
                <c:ptCount val="4"/>
                <c:pt idx="0">
                  <c:v>7547</c:v>
                </c:pt>
                <c:pt idx="1">
                  <c:v>18367</c:v>
                </c:pt>
                <c:pt idx="2">
                  <c:v>5758</c:v>
                </c:pt>
                <c:pt idx="3">
                  <c:v>10557.333333333334</c:v>
                </c:pt>
              </c:numCache>
            </c:numRef>
          </c:val>
        </c:ser>
        <c:dLbls>
          <c:showLegendKey val="0"/>
          <c:showVal val="0"/>
          <c:showCatName val="0"/>
          <c:showSerName val="0"/>
          <c:showPercent val="0"/>
          <c:showBubbleSize val="0"/>
        </c:dLbls>
        <c:gapWidth val="75"/>
        <c:axId val="606536808"/>
        <c:axId val="606537592"/>
      </c:barChart>
      <c:catAx>
        <c:axId val="606538768"/>
        <c:scaling>
          <c:orientation val="minMax"/>
        </c:scaling>
        <c:delete val="0"/>
        <c:axPos val="b"/>
        <c:numFmt formatCode="General" sourceLinked="0"/>
        <c:majorTickMark val="out"/>
        <c:minorTickMark val="none"/>
        <c:tickLblPos val="nextTo"/>
        <c:crossAx val="606535240"/>
        <c:crosses val="autoZero"/>
        <c:auto val="1"/>
        <c:lblAlgn val="ctr"/>
        <c:lblOffset val="100"/>
        <c:noMultiLvlLbl val="0"/>
      </c:catAx>
      <c:valAx>
        <c:axId val="606535240"/>
        <c:scaling>
          <c:orientation val="minMax"/>
        </c:scaling>
        <c:delete val="0"/>
        <c:axPos val="l"/>
        <c:majorGridlines/>
        <c:numFmt formatCode="&quot;$&quot;#,##0" sourceLinked="1"/>
        <c:majorTickMark val="out"/>
        <c:minorTickMark val="none"/>
        <c:tickLblPos val="nextTo"/>
        <c:crossAx val="606538768"/>
        <c:crosses val="autoZero"/>
        <c:crossBetween val="between"/>
      </c:valAx>
      <c:valAx>
        <c:axId val="606537592"/>
        <c:scaling>
          <c:orientation val="minMax"/>
        </c:scaling>
        <c:delete val="1"/>
        <c:axPos val="r"/>
        <c:numFmt formatCode="&quot;$&quot;#,##0" sourceLinked="1"/>
        <c:majorTickMark val="out"/>
        <c:minorTickMark val="none"/>
        <c:tickLblPos val="none"/>
        <c:crossAx val="606536808"/>
        <c:crosses val="max"/>
        <c:crossBetween val="between"/>
      </c:valAx>
      <c:catAx>
        <c:axId val="606536808"/>
        <c:scaling>
          <c:orientation val="minMax"/>
        </c:scaling>
        <c:delete val="1"/>
        <c:axPos val="b"/>
        <c:numFmt formatCode="General" sourceLinked="1"/>
        <c:majorTickMark val="out"/>
        <c:minorTickMark val="none"/>
        <c:tickLblPos val="none"/>
        <c:crossAx val="606537592"/>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C0504D">
        <a:lumMod val="20000"/>
        <a:lumOff val="80000"/>
        <a:alpha val="50000"/>
      </a:srgbClr>
    </a:solidFill>
  </c:spPr>
  <c:printSettings>
    <c:headerFooter/>
    <c:pageMargins b="0.75000000000000577" l="0.70000000000000062" r="0.70000000000000062" t="0.75000000000000577"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Formulas!$L$38</c:f>
          <c:strCache>
            <c:ptCount val="1"/>
            <c:pt idx="0">
              <c:v>9B.Change in Permanent Housing Exits
Family Households</c:v>
            </c:pt>
          </c:strCache>
        </c:strRef>
      </c:tx>
      <c:layout>
        <c:manualLayout>
          <c:xMode val="edge"/>
          <c:yMode val="edge"/>
          <c:x val="7.8132249422130512E-3"/>
          <c:y val="9.2592592592593784E-3"/>
        </c:manualLayout>
      </c:layout>
      <c:overlay val="0"/>
      <c:txPr>
        <a:bodyPr/>
        <a:lstStyle/>
        <a:p>
          <a:pPr algn="l">
            <a:defRPr sz="1200"/>
          </a:pPr>
          <a:endParaRPr lang="en-US"/>
        </a:p>
      </c:txPr>
    </c:title>
    <c:autoTitleDeleted val="0"/>
    <c:plotArea>
      <c:layout>
        <c:manualLayout>
          <c:layoutTarget val="inner"/>
          <c:xMode val="edge"/>
          <c:yMode val="edge"/>
          <c:x val="8.2628871391076955E-2"/>
          <c:y val="0.22871536891221941"/>
          <c:w val="0.88803779527559068"/>
          <c:h val="0.59473571011956861"/>
        </c:manualLayout>
      </c:layout>
      <c:barChart>
        <c:barDir val="col"/>
        <c:grouping val="clustered"/>
        <c:varyColors val="0"/>
        <c:ser>
          <c:idx val="2"/>
          <c:order val="2"/>
          <c:tx>
            <c:strRef>
              <c:f>Formulas!$Q$37</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Formulas!$M$38:$M$41</c:f>
              <c:strCache>
                <c:ptCount val="4"/>
                <c:pt idx="0">
                  <c:v>ES</c:v>
                </c:pt>
                <c:pt idx="1">
                  <c:v>TH</c:v>
                </c:pt>
                <c:pt idx="2">
                  <c:v>RR</c:v>
                </c:pt>
                <c:pt idx="3">
                  <c:v>All Programs</c:v>
                </c:pt>
              </c:strCache>
            </c:strRef>
          </c:cat>
          <c:val>
            <c:numRef>
              <c:f>Formulas!$Q$38:$Q$41</c:f>
              <c:numCache>
                <c:formatCode>#,##0</c:formatCode>
                <c:ptCount val="4"/>
                <c:pt idx="0">
                  <c:v>137</c:v>
                </c:pt>
                <c:pt idx="1">
                  <c:v>158</c:v>
                </c:pt>
                <c:pt idx="2">
                  <c:v>235</c:v>
                </c:pt>
                <c:pt idx="3">
                  <c:v>530</c:v>
                </c:pt>
              </c:numCache>
            </c:numRef>
          </c:val>
        </c:ser>
        <c:ser>
          <c:idx val="3"/>
          <c:order val="3"/>
          <c:tx>
            <c:strRef>
              <c:f>Formulas!$R$37</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Formulas!$M$38:$M$41</c:f>
              <c:strCache>
                <c:ptCount val="4"/>
                <c:pt idx="0">
                  <c:v>ES</c:v>
                </c:pt>
                <c:pt idx="1">
                  <c:v>TH</c:v>
                </c:pt>
                <c:pt idx="2">
                  <c:v>RR</c:v>
                </c:pt>
                <c:pt idx="3">
                  <c:v>All Programs</c:v>
                </c:pt>
              </c:strCache>
            </c:strRef>
          </c:cat>
          <c:val>
            <c:numRef>
              <c:f>Formulas!$R$38:$R$41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150"/>
        <c:axId val="606537984"/>
        <c:axId val="609482504"/>
      </c:barChart>
      <c:barChart>
        <c:barDir val="col"/>
        <c:grouping val="clustered"/>
        <c:varyColors val="0"/>
        <c:ser>
          <c:idx val="0"/>
          <c:order val="0"/>
          <c:tx>
            <c:strRef>
              <c:f>Formulas!$N$37</c:f>
              <c:strCache>
                <c:ptCount val="1"/>
                <c:pt idx="0">
                  <c:v>Current PH Exits</c:v>
                </c:pt>
              </c:strCache>
            </c:strRef>
          </c:tx>
          <c:invertIfNegative val="0"/>
          <c:dLbls>
            <c:delete val="1"/>
          </c:dLbls>
          <c:cat>
            <c:strRef>
              <c:f>Formulas!$M$38:$M$41</c:f>
              <c:strCache>
                <c:ptCount val="4"/>
                <c:pt idx="0">
                  <c:v>ES</c:v>
                </c:pt>
                <c:pt idx="1">
                  <c:v>TH</c:v>
                </c:pt>
                <c:pt idx="2">
                  <c:v>RR</c:v>
                </c:pt>
                <c:pt idx="3">
                  <c:v>All Programs</c:v>
                </c:pt>
              </c:strCache>
            </c:strRef>
          </c:cat>
          <c:val>
            <c:numRef>
              <c:f>Formulas!$N$38:$N$41</c:f>
              <c:numCache>
                <c:formatCode>#,##0</c:formatCode>
                <c:ptCount val="4"/>
                <c:pt idx="0">
                  <c:v>137</c:v>
                </c:pt>
                <c:pt idx="1">
                  <c:v>158</c:v>
                </c:pt>
                <c:pt idx="2">
                  <c:v>235</c:v>
                </c:pt>
                <c:pt idx="3">
                  <c:v>530</c:v>
                </c:pt>
              </c:numCache>
            </c:numRef>
          </c:val>
        </c:ser>
        <c:ser>
          <c:idx val="1"/>
          <c:order val="1"/>
          <c:tx>
            <c:strRef>
              <c:f>Formulas!$O$37</c:f>
              <c:strCache>
                <c:ptCount val="1"/>
                <c:pt idx="0">
                  <c:v>New PH Exits</c:v>
                </c:pt>
              </c:strCache>
            </c:strRef>
          </c:tx>
          <c:invertIfNegative val="0"/>
          <c:dLbls>
            <c:dLbl>
              <c:idx val="0"/>
              <c:tx>
                <c:strRef>
                  <c:f>Formulas!$P$38</c:f>
                  <c:strCache>
                    <c:ptCount val="1"/>
                  </c:strCache>
                </c:strRef>
              </c:tx>
              <c:dLblPos val="inEnd"/>
              <c:showLegendKey val="0"/>
              <c:showVal val="1"/>
              <c:showCatName val="0"/>
              <c:showSerName val="0"/>
              <c:showPercent val="0"/>
              <c:showBubbleSize val="0"/>
              <c:extLst>
                <c:ext xmlns:c15="http://schemas.microsoft.com/office/drawing/2012/chart" uri="{CE6537A1-D6FC-4f65-9D91-7224C49458BB}">
                  <c15:dlblFieldTable>
                    <c15:dlblFTEntry>
                      <c15:txfldGUID>{D71CBA6B-D944-4FE1-918E-CD4BB7F3193F}</c15:txfldGUID>
                      <c15:f>Formulas!$P$38</c15:f>
                      <c15:dlblFieldTableCache>
                        <c:ptCount val="1"/>
                      </c15:dlblFieldTableCache>
                    </c15:dlblFTEntry>
                  </c15:dlblFieldTable>
                  <c15:showDataLabelsRange val="0"/>
                </c:ext>
              </c:extLst>
            </c:dLbl>
            <c:dLbl>
              <c:idx val="1"/>
              <c:tx>
                <c:strRef>
                  <c:f>Formulas!$P$39</c:f>
                  <c:strCache>
                    <c:ptCount val="1"/>
                  </c:strCache>
                </c:strRef>
              </c:tx>
              <c:dLblPos val="inEnd"/>
              <c:showLegendKey val="0"/>
              <c:showVal val="1"/>
              <c:showCatName val="0"/>
              <c:showSerName val="0"/>
              <c:showPercent val="0"/>
              <c:showBubbleSize val="0"/>
              <c:extLst>
                <c:ext xmlns:c15="http://schemas.microsoft.com/office/drawing/2012/chart" uri="{CE6537A1-D6FC-4f65-9D91-7224C49458BB}">
                  <c15:dlblFieldTable>
                    <c15:dlblFTEntry>
                      <c15:txfldGUID>{914ADC8E-B45D-4B44-B742-DBF59457920A}</c15:txfldGUID>
                      <c15:f>Formulas!$P$39</c15:f>
                      <c15:dlblFieldTableCache>
                        <c:ptCount val="1"/>
                      </c15:dlblFieldTableCache>
                    </c15:dlblFTEntry>
                  </c15:dlblFieldTable>
                  <c15:showDataLabelsRange val="0"/>
                </c:ext>
              </c:extLst>
            </c:dLbl>
            <c:dLbl>
              <c:idx val="2"/>
              <c:tx>
                <c:strRef>
                  <c:f>Formulas!$P$40</c:f>
                  <c:strCache>
                    <c:ptCount val="1"/>
                  </c:strCache>
                </c:strRef>
              </c:tx>
              <c:dLblPos val="inEnd"/>
              <c:showLegendKey val="0"/>
              <c:showVal val="1"/>
              <c:showCatName val="0"/>
              <c:showSerName val="0"/>
              <c:showPercent val="0"/>
              <c:showBubbleSize val="0"/>
              <c:extLst>
                <c:ext xmlns:c15="http://schemas.microsoft.com/office/drawing/2012/chart" uri="{CE6537A1-D6FC-4f65-9D91-7224C49458BB}">
                  <c15:dlblFieldTable>
                    <c15:dlblFTEntry>
                      <c15:txfldGUID>{F9864A54-B736-4EBF-8DE8-C5F81F9EE2D7}</c15:txfldGUID>
                      <c15:f>Formulas!$P$40</c15:f>
                      <c15:dlblFieldTableCache>
                        <c:ptCount val="1"/>
                      </c15:dlblFieldTableCache>
                    </c15:dlblFTEntry>
                  </c15:dlblFieldTable>
                  <c15:showDataLabelsRange val="0"/>
                </c:ext>
              </c:extLst>
            </c:dLbl>
            <c:dLbl>
              <c:idx val="3"/>
              <c:tx>
                <c:strRef>
                  <c:f>Formulas!$P$41</c:f>
                  <c:strCache>
                    <c:ptCount val="1"/>
                  </c:strCache>
                </c:strRef>
              </c:tx>
              <c:dLblPos val="inEnd"/>
              <c:showLegendKey val="0"/>
              <c:showVal val="1"/>
              <c:showCatName val="0"/>
              <c:showSerName val="0"/>
              <c:showPercent val="0"/>
              <c:showBubbleSize val="0"/>
              <c:extLst>
                <c:ext xmlns:c15="http://schemas.microsoft.com/office/drawing/2012/chart" uri="{CE6537A1-D6FC-4f65-9D91-7224C49458BB}">
                  <c15:dlblFieldTable>
                    <c15:dlblFTEntry>
                      <c15:txfldGUID>{546210B1-A061-44E8-846D-36759929BFE9}</c15:txfldGUID>
                      <c15:f>Formulas!$P$41</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Formulas!$M$38:$M$41</c:f>
              <c:strCache>
                <c:ptCount val="4"/>
                <c:pt idx="0">
                  <c:v>ES</c:v>
                </c:pt>
                <c:pt idx="1">
                  <c:v>TH</c:v>
                </c:pt>
                <c:pt idx="2">
                  <c:v>RR</c:v>
                </c:pt>
                <c:pt idx="3">
                  <c:v>All Programs</c:v>
                </c:pt>
              </c:strCache>
            </c:strRef>
          </c:cat>
          <c:val>
            <c:numRef>
              <c:f>Formulas!$O$38:$O$41</c:f>
              <c:numCache>
                <c:formatCode>#,##0</c:formatCode>
                <c:ptCount val="4"/>
                <c:pt idx="0">
                  <c:v>137</c:v>
                </c:pt>
                <c:pt idx="1">
                  <c:v>157.99999999999997</c:v>
                </c:pt>
                <c:pt idx="2">
                  <c:v>235</c:v>
                </c:pt>
                <c:pt idx="3">
                  <c:v>530</c:v>
                </c:pt>
              </c:numCache>
            </c:numRef>
          </c:val>
        </c:ser>
        <c:dLbls>
          <c:showLegendKey val="0"/>
          <c:showVal val="1"/>
          <c:showCatName val="0"/>
          <c:showSerName val="0"/>
          <c:showPercent val="0"/>
          <c:showBubbleSize val="0"/>
        </c:dLbls>
        <c:gapWidth val="75"/>
        <c:axId val="609483288"/>
        <c:axId val="609481720"/>
      </c:barChart>
      <c:catAx>
        <c:axId val="606537984"/>
        <c:scaling>
          <c:orientation val="minMax"/>
        </c:scaling>
        <c:delete val="0"/>
        <c:axPos val="b"/>
        <c:numFmt formatCode="General" sourceLinked="0"/>
        <c:majorTickMark val="out"/>
        <c:minorTickMark val="none"/>
        <c:tickLblPos val="nextTo"/>
        <c:crossAx val="609482504"/>
        <c:crosses val="autoZero"/>
        <c:auto val="1"/>
        <c:lblAlgn val="ctr"/>
        <c:lblOffset val="100"/>
        <c:noMultiLvlLbl val="0"/>
      </c:catAx>
      <c:valAx>
        <c:axId val="609482504"/>
        <c:scaling>
          <c:orientation val="minMax"/>
        </c:scaling>
        <c:delete val="0"/>
        <c:axPos val="l"/>
        <c:majorGridlines/>
        <c:numFmt formatCode="#,##0" sourceLinked="1"/>
        <c:majorTickMark val="out"/>
        <c:minorTickMark val="none"/>
        <c:tickLblPos val="nextTo"/>
        <c:crossAx val="606537984"/>
        <c:crosses val="autoZero"/>
        <c:crossBetween val="between"/>
      </c:valAx>
      <c:valAx>
        <c:axId val="609481720"/>
        <c:scaling>
          <c:orientation val="minMax"/>
        </c:scaling>
        <c:delete val="1"/>
        <c:axPos val="r"/>
        <c:numFmt formatCode="#,##0" sourceLinked="1"/>
        <c:majorTickMark val="out"/>
        <c:minorTickMark val="none"/>
        <c:tickLblPos val="none"/>
        <c:crossAx val="609483288"/>
        <c:crosses val="max"/>
        <c:crossBetween val="between"/>
      </c:valAx>
      <c:catAx>
        <c:axId val="609483288"/>
        <c:scaling>
          <c:orientation val="minMax"/>
        </c:scaling>
        <c:delete val="1"/>
        <c:axPos val="b"/>
        <c:numFmt formatCode="General" sourceLinked="1"/>
        <c:majorTickMark val="out"/>
        <c:minorTickMark val="none"/>
        <c:tickLblPos val="none"/>
        <c:crossAx val="609481720"/>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layout>
        <c:manualLayout>
          <c:xMode val="edge"/>
          <c:yMode val="edge"/>
          <c:x val="0.27431349081365003"/>
          <c:y val="0.9116531787693205"/>
          <c:w val="0.45137280839895255"/>
          <c:h val="8.3717191601050026E-2"/>
        </c:manualLayout>
      </c:layout>
      <c:overlay val="0"/>
    </c:legend>
    <c:plotVisOnly val="1"/>
    <c:dispBlanksAs val="gap"/>
    <c:showDLblsOverMax val="0"/>
  </c:chart>
  <c:spPr>
    <a:solidFill>
      <a:srgbClr val="FFFFCC">
        <a:alpha val="50000"/>
      </a:srgbClr>
    </a:solidFill>
  </c:spPr>
  <c:printSettings>
    <c:headerFooter/>
    <c:pageMargins b="0.75000000000000555" l="0.70000000000000062" r="0.70000000000000062" t="0.7500000000000055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Formulas!$L$44</c:f>
          <c:strCache>
            <c:ptCount val="1"/>
            <c:pt idx="0">
              <c:v>10B. Change in Average Cost per Permanent Housing Exit
Family Households</c:v>
            </c:pt>
          </c:strCache>
        </c:strRef>
      </c:tx>
      <c:layout>
        <c:manualLayout>
          <c:xMode val="edge"/>
          <c:yMode val="edge"/>
          <c:x val="1.7235732479144138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7973384317375671"/>
          <c:w val="0.83419203849519685"/>
          <c:h val="0.61096022741566269"/>
        </c:manualLayout>
      </c:layout>
      <c:barChart>
        <c:barDir val="col"/>
        <c:grouping val="clustered"/>
        <c:varyColors val="0"/>
        <c:ser>
          <c:idx val="0"/>
          <c:order val="0"/>
          <c:tx>
            <c:strRef>
              <c:f>Formulas!$N$43</c:f>
              <c:strCache>
                <c:ptCount val="1"/>
                <c:pt idx="0">
                  <c:v>Current $/PH Exit</c:v>
                </c:pt>
              </c:strCache>
            </c:strRef>
          </c:tx>
          <c:invertIfNegative val="0"/>
          <c:dLbls>
            <c:delete val="1"/>
          </c:dLbls>
          <c:cat>
            <c:strRef>
              <c:f>Formulas!$M$44:$M$47</c:f>
              <c:strCache>
                <c:ptCount val="4"/>
                <c:pt idx="0">
                  <c:v>ES</c:v>
                </c:pt>
                <c:pt idx="1">
                  <c:v>TH</c:v>
                </c:pt>
                <c:pt idx="2">
                  <c:v>RR</c:v>
                </c:pt>
                <c:pt idx="3">
                  <c:v>All Programs</c:v>
                </c:pt>
              </c:strCache>
            </c:strRef>
          </c:cat>
          <c:val>
            <c:numRef>
              <c:f>Formulas!$N$44:$N$47</c:f>
              <c:numCache>
                <c:formatCode>"$"#,##0</c:formatCode>
                <c:ptCount val="4"/>
                <c:pt idx="0">
                  <c:v>8759</c:v>
                </c:pt>
                <c:pt idx="1">
                  <c:v>18987</c:v>
                </c:pt>
                <c:pt idx="2">
                  <c:v>3617</c:v>
                </c:pt>
                <c:pt idx="3">
                  <c:v>10454.333333333334</c:v>
                </c:pt>
              </c:numCache>
            </c:numRef>
          </c:val>
        </c:ser>
        <c:ser>
          <c:idx val="1"/>
          <c:order val="1"/>
          <c:tx>
            <c:strRef>
              <c:f>Formulas!$O$43</c:f>
              <c:strCache>
                <c:ptCount val="1"/>
                <c:pt idx="0">
                  <c:v>New $/PH Exit</c:v>
                </c:pt>
              </c:strCache>
            </c:strRef>
          </c:tx>
          <c:invertIfNegative val="0"/>
          <c:dLbls>
            <c:dLbl>
              <c:idx val="0"/>
              <c:tx>
                <c:strRef>
                  <c:f>Formulas!$P$44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{EE311EC2-9867-429B-AFBA-3FF86498FC34}</c15:txfldGUID>
                      <c15:f>Formulas!$P$44</c15:f>
                      <c15:dlblFieldTableCache>
                        <c:ptCount val="1"/>
                      </c15:dlblFieldTableCache>
                    </c15:dlblFTEntry>
                  </c15:dlblFieldTable>
                  <c15:showDataLabelsRange val="0"/>
                </c:ext>
              </c:extLst>
            </c:dLbl>
            <c:dLbl>
              <c:idx val="1"/>
              <c:tx>
                <c:strRef>
                  <c:f>Formulas!$P$45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{98B94B5E-FF2A-4C6A-ADC5-C9F467E07A7F}</c15:txfldGUID>
                      <c15:f>Formulas!$P$45</c15:f>
                      <c15:dlblFieldTableCache>
                        <c:ptCount val="1"/>
                      </c15:dlblFieldTableCache>
                    </c15:dlblFTEntry>
                  </c15:dlblFieldTable>
                  <c15:showDataLabelsRange val="0"/>
                </c:ext>
              </c:extLst>
            </c:dLbl>
            <c:dLbl>
              <c:idx val="2"/>
              <c:tx>
                <c:strRef>
                  <c:f>Formulas!$P$46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{B7451CAC-3218-4A46-96FF-117B4798D49B}</c15:txfldGUID>
                      <c15:f>Formulas!$P$46</c15:f>
                      <c15:dlblFieldTableCache>
                        <c:ptCount val="1"/>
                      </c15:dlblFieldTableCache>
                    </c15:dlblFTEntry>
                  </c15:dlblFieldTable>
                  <c15:showDataLabelsRange val="0"/>
                </c:ext>
              </c:extLst>
            </c:dLbl>
            <c:dLbl>
              <c:idx val="3"/>
              <c:tx>
                <c:strRef>
                  <c:f>Formulas!$P$47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{0C7A5BEC-BB83-41C8-A387-04B4F2F03478}</c15:txfldGUID>
                      <c15:f>Formulas!$P$47</c15:f>
                      <c15:dlblFieldTableCache>
                        <c:ptCount val="1"/>
                      </c15:dlblFieldTableCache>
                    </c15:dlblFTEntry>
                  </c15:dlblFieldTable>
                  <c15:showDataLabelsRange val="0"/>
                </c:ext>
              </c:extLst>
            </c:dLbl>
            <c:numFmt formatCode="&quot;$&quot;#,##0_);[Red]\(&quot;$&quot;#,##0\)" sourceLinked="0"/>
            <c:spPr>
              <a:noFill/>
              <a:ln>
                <a:noFill/>
              </a:ln>
              <a:effectLst/>
            </c:spPr>
            <c:txPr>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Formulas!$M$44:$M$47</c:f>
              <c:strCache>
                <c:ptCount val="4"/>
                <c:pt idx="0">
                  <c:v>ES</c:v>
                </c:pt>
                <c:pt idx="1">
                  <c:v>TH</c:v>
                </c:pt>
                <c:pt idx="2">
                  <c:v>RR</c:v>
                </c:pt>
                <c:pt idx="3">
                  <c:v>All Programs</c:v>
                </c:pt>
              </c:strCache>
            </c:strRef>
          </c:cat>
          <c:val>
            <c:numRef>
              <c:f>Formulas!$O$44:$O$47</c:f>
              <c:numCache>
                <c:formatCode>"$"#,##0</c:formatCode>
                <c:ptCount val="4"/>
                <c:pt idx="0">
                  <c:v>8759</c:v>
                </c:pt>
                <c:pt idx="1">
                  <c:v>18987</c:v>
                </c:pt>
                <c:pt idx="2">
                  <c:v>3617</c:v>
                </c:pt>
                <c:pt idx="3">
                  <c:v>10454.333333333334</c:v>
                </c:pt>
              </c:numCache>
            </c:numRef>
          </c:val>
        </c:ser>
        <c:dLbls>
          <c:showLegendKey val="0"/>
          <c:showVal val="1"/>
          <c:showCatName val="0"/>
          <c:showSerName val="0"/>
          <c:showPercent val="0"/>
          <c:showBubbleSize val="0"/>
        </c:dLbls>
        <c:gapWidth val="150"/>
        <c:axId val="609483680"/>
        <c:axId val="609482112"/>
      </c:barChart>
      <c:barChart>
        <c:barDir val="col"/>
        <c:grouping val="clustered"/>
        <c:varyColors val="0"/>
        <c:ser>
          <c:idx val="2"/>
          <c:order val="2"/>
          <c:tx>
            <c:strRef>
              <c:f>Formulas!$Q$43</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Formulas!$M$44:$M$47</c:f>
              <c:strCache>
                <c:ptCount val="4"/>
                <c:pt idx="0">
                  <c:v>ES</c:v>
                </c:pt>
                <c:pt idx="1">
                  <c:v>TH</c:v>
                </c:pt>
                <c:pt idx="2">
                  <c:v>RR</c:v>
                </c:pt>
                <c:pt idx="3">
                  <c:v>All Programs</c:v>
                </c:pt>
              </c:strCache>
            </c:strRef>
          </c:cat>
          <c:val>
            <c:numRef>
              <c:f>Formulas!$Q$44:$Q$47</c:f>
              <c:numCache>
                <c:formatCode>"$"#,##0</c:formatCode>
                <c:ptCount val="4"/>
                <c:pt idx="0">
                  <c:v>8759</c:v>
                </c:pt>
                <c:pt idx="1">
                  <c:v>18987</c:v>
                </c:pt>
                <c:pt idx="2">
                  <c:v>3617</c:v>
                </c:pt>
                <c:pt idx="3">
                  <c:v>10454.333333333334</c:v>
                </c:pt>
              </c:numCache>
            </c:numRef>
          </c:val>
        </c:ser>
        <c:ser>
          <c:idx val="3"/>
          <c:order val="3"/>
          <c:tx>
            <c:strRef>
              <c:f>Formulas!$R$43</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Formulas!$M$44:$M$47</c:f>
              <c:strCache>
                <c:ptCount val="4"/>
                <c:pt idx="0">
                  <c:v>ES</c:v>
                </c:pt>
                <c:pt idx="1">
                  <c:v>TH</c:v>
                </c:pt>
                <c:pt idx="2">
                  <c:v>RR</c:v>
                </c:pt>
                <c:pt idx="3">
                  <c:v>All Programs</c:v>
                </c:pt>
              </c:strCache>
            </c:strRef>
          </c:cat>
          <c:val>
            <c:numRef>
              <c:f>Formulas!$R$44:$R$47</c:f>
              <c:numCache>
                <c:formatCode>"$"#,##0</c:formatCode>
                <c:ptCount val="4"/>
                <c:pt idx="0">
                  <c:v>8759</c:v>
                </c:pt>
                <c:pt idx="1">
                  <c:v>18987</c:v>
                </c:pt>
                <c:pt idx="2">
                  <c:v>3617</c:v>
                </c:pt>
                <c:pt idx="3">
                  <c:v>10454.333333333334</c:v>
                </c:pt>
              </c:numCache>
            </c:numRef>
          </c:val>
        </c:ser>
        <c:dLbls>
          <c:showLegendKey val="0"/>
          <c:showVal val="0"/>
          <c:showCatName val="0"/>
          <c:showSerName val="0"/>
          <c:showPercent val="0"/>
          <c:showBubbleSize val="0"/>
        </c:dLbls>
        <c:gapWidth val="75"/>
        <c:axId val="609480152"/>
        <c:axId val="609481328"/>
      </c:barChart>
      <c:catAx>
        <c:axId val="609483680"/>
        <c:scaling>
          <c:orientation val="minMax"/>
        </c:scaling>
        <c:delete val="0"/>
        <c:axPos val="b"/>
        <c:numFmt formatCode="General" sourceLinked="0"/>
        <c:majorTickMark val="out"/>
        <c:minorTickMark val="none"/>
        <c:tickLblPos val="nextTo"/>
        <c:crossAx val="609482112"/>
        <c:crosses val="autoZero"/>
        <c:auto val="1"/>
        <c:lblAlgn val="ctr"/>
        <c:lblOffset val="100"/>
        <c:noMultiLvlLbl val="0"/>
      </c:catAx>
      <c:valAx>
        <c:axId val="609482112"/>
        <c:scaling>
          <c:orientation val="minMax"/>
        </c:scaling>
        <c:delete val="0"/>
        <c:axPos val="l"/>
        <c:majorGridlines/>
        <c:numFmt formatCode="&quot;$&quot;#,##0" sourceLinked="1"/>
        <c:majorTickMark val="out"/>
        <c:minorTickMark val="none"/>
        <c:tickLblPos val="nextTo"/>
        <c:crossAx val="609483680"/>
        <c:crosses val="autoZero"/>
        <c:crossBetween val="between"/>
      </c:valAx>
      <c:valAx>
        <c:axId val="609481328"/>
        <c:scaling>
          <c:orientation val="minMax"/>
        </c:scaling>
        <c:delete val="1"/>
        <c:axPos val="r"/>
        <c:numFmt formatCode="&quot;$&quot;#,##0" sourceLinked="1"/>
        <c:majorTickMark val="out"/>
        <c:minorTickMark val="none"/>
        <c:tickLblPos val="none"/>
        <c:crossAx val="609480152"/>
        <c:crosses val="max"/>
        <c:crossBetween val="between"/>
      </c:valAx>
      <c:catAx>
        <c:axId val="609480152"/>
        <c:scaling>
          <c:orientation val="minMax"/>
        </c:scaling>
        <c:delete val="1"/>
        <c:axPos val="b"/>
        <c:numFmt formatCode="General" sourceLinked="1"/>
        <c:majorTickMark val="out"/>
        <c:minorTickMark val="none"/>
        <c:tickLblPos val="none"/>
        <c:crossAx val="609481328"/>
        <c:crosses val="autoZero"/>
        <c:auto val="1"/>
        <c:lblAlgn val="ctr"/>
        <c:lblOffset val="100"/>
        <c:noMultiLvlLbl val="0"/>
      </c:catAx>
      <c:spPr>
        <a:solidFill>
          <a:srgbClr val="FFFFCC">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FFFFCC">
        <a:alpha val="50000"/>
      </a:srgbClr>
    </a:solidFill>
  </c:spPr>
  <c:printSettings>
    <c:headerFooter/>
    <c:pageMargins b="0.75000000000000555" l="0.70000000000000062" r="0.70000000000000062" t="0.7500000000000055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Formulas!$L$50</c:f>
          <c:strCache>
            <c:ptCount val="1"/>
            <c:pt idx="0">
              <c:v>9C. Change in Permanent Housing Exits
All Households</c:v>
            </c:pt>
          </c:strCache>
        </c:strRef>
      </c:tx>
      <c:layout>
        <c:manualLayout>
          <c:xMode val="edge"/>
          <c:yMode val="edge"/>
          <c:x val="7.1219968266245885E-3"/>
          <c:y val="9.2592592592593784E-3"/>
        </c:manualLayout>
      </c:layout>
      <c:overlay val="0"/>
      <c:txPr>
        <a:bodyPr/>
        <a:lstStyle/>
        <a:p>
          <a:pPr algn="l">
            <a:defRPr sz="1200"/>
          </a:pPr>
          <a:endParaRPr lang="en-US"/>
        </a:p>
      </c:txPr>
    </c:title>
    <c:autoTitleDeleted val="0"/>
    <c:plotArea>
      <c:layout>
        <c:manualLayout>
          <c:layoutTarget val="inner"/>
          <c:xMode val="edge"/>
          <c:yMode val="edge"/>
          <c:x val="0.10708573928259073"/>
          <c:y val="0.19480351414406533"/>
          <c:w val="0.86235870516185453"/>
          <c:h val="0.61938830562846314"/>
        </c:manualLayout>
      </c:layout>
      <c:barChart>
        <c:barDir val="col"/>
        <c:grouping val="clustered"/>
        <c:varyColors val="0"/>
        <c:ser>
          <c:idx val="2"/>
          <c:order val="2"/>
          <c:tx>
            <c:strRef>
              <c:f>Formulas!$Q$49</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Formulas!$M$50:$M$53</c:f>
              <c:strCache>
                <c:ptCount val="4"/>
                <c:pt idx="0">
                  <c:v>ES</c:v>
                </c:pt>
                <c:pt idx="1">
                  <c:v>TH</c:v>
                </c:pt>
                <c:pt idx="2">
                  <c:v>RR</c:v>
                </c:pt>
                <c:pt idx="3">
                  <c:v>All Programs</c:v>
                </c:pt>
              </c:strCache>
            </c:strRef>
          </c:cat>
          <c:val>
            <c:numRef>
              <c:f>Formulas!$Q$50:$Q$53</c:f>
              <c:numCache>
                <c:formatCode>#,##0</c:formatCode>
                <c:ptCount val="4"/>
                <c:pt idx="0">
                  <c:v>402</c:v>
                </c:pt>
                <c:pt idx="1">
                  <c:v>256</c:v>
                </c:pt>
                <c:pt idx="2">
                  <c:v>347</c:v>
                </c:pt>
                <c:pt idx="3">
                  <c:v>1005</c:v>
                </c:pt>
              </c:numCache>
            </c:numRef>
          </c:val>
        </c:ser>
        <c:ser>
          <c:idx val="3"/>
          <c:order val="3"/>
          <c:tx>
            <c:strRef>
              <c:f>Formulas!$R$49</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Formulas!$M$50:$M$53</c:f>
              <c:strCache>
                <c:ptCount val="4"/>
                <c:pt idx="0">
                  <c:v>ES</c:v>
                </c:pt>
                <c:pt idx="1">
                  <c:v>TH</c:v>
                </c:pt>
                <c:pt idx="2">
                  <c:v>RR</c:v>
                </c:pt>
                <c:pt idx="3">
                  <c:v>All Programs</c:v>
                </c:pt>
              </c:strCache>
            </c:strRef>
          </c:cat>
          <c:val>
            <c:numRef>
              <c:f>Formulas!$R$50:$R$53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609480936"/>
        <c:axId val="604750112"/>
      </c:barChart>
      <c:barChart>
        <c:barDir val="col"/>
        <c:grouping val="clustered"/>
        <c:varyColors val="0"/>
        <c:ser>
          <c:idx val="0"/>
          <c:order val="0"/>
          <c:tx>
            <c:strRef>
              <c:f>Formulas!$N$49</c:f>
              <c:strCache>
                <c:ptCount val="1"/>
                <c:pt idx="0">
                  <c:v>Current PH Exits</c:v>
                </c:pt>
              </c:strCache>
            </c:strRef>
          </c:tx>
          <c:invertIfNegative val="0"/>
          <c:dLbls>
            <c:delete val="1"/>
          </c:dLbls>
          <c:cat>
            <c:strRef>
              <c:f>Formulas!$M$50:$M$53</c:f>
              <c:strCache>
                <c:ptCount val="4"/>
                <c:pt idx="0">
                  <c:v>ES</c:v>
                </c:pt>
                <c:pt idx="1">
                  <c:v>TH</c:v>
                </c:pt>
                <c:pt idx="2">
                  <c:v>RR</c:v>
                </c:pt>
                <c:pt idx="3">
                  <c:v>All Programs</c:v>
                </c:pt>
              </c:strCache>
            </c:strRef>
          </c:cat>
          <c:val>
            <c:numRef>
              <c:f>Formulas!$N$50:$N$53</c:f>
              <c:numCache>
                <c:formatCode>#,##0</c:formatCode>
                <c:ptCount val="4"/>
                <c:pt idx="0">
                  <c:v>402</c:v>
                </c:pt>
                <c:pt idx="1">
                  <c:v>256</c:v>
                </c:pt>
                <c:pt idx="2">
                  <c:v>347</c:v>
                </c:pt>
                <c:pt idx="3">
                  <c:v>1005</c:v>
                </c:pt>
              </c:numCache>
            </c:numRef>
          </c:val>
        </c:ser>
        <c:ser>
          <c:idx val="1"/>
          <c:order val="1"/>
          <c:tx>
            <c:strRef>
              <c:f>Formulas!$O$49</c:f>
              <c:strCache>
                <c:ptCount val="1"/>
                <c:pt idx="0">
                  <c:v>New PH Exits</c:v>
                </c:pt>
              </c:strCache>
            </c:strRef>
          </c:tx>
          <c:invertIfNegative val="0"/>
          <c:dLbls>
            <c:dLbl>
              <c:idx val="0"/>
              <c:tx>
                <c:strRef>
                  <c:f>Formulas!$P$50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{24B5AC39-2DBB-4464-9415-BA638AE363E6}</c15:txfldGUID>
                      <c15:f>Formulas!$P$50</c15:f>
                      <c15:dlblFieldTableCache>
                        <c:ptCount val="1"/>
                      </c15:dlblFieldTableCache>
                    </c15:dlblFTEntry>
                  </c15:dlblFieldTable>
                  <c15:showDataLabelsRange val="0"/>
                </c:ext>
              </c:extLst>
            </c:dLbl>
            <c:dLbl>
              <c:idx val="1"/>
              <c:tx>
                <c:strRef>
                  <c:f>Formulas!$P$51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{ABD7CB18-FFD8-408C-AFD2-9D284BE33FD4}</c15:txfldGUID>
                      <c15:f>Formulas!$P$51</c15:f>
                      <c15:dlblFieldTableCache>
                        <c:ptCount val="1"/>
                      </c15:dlblFieldTableCache>
                    </c15:dlblFTEntry>
                  </c15:dlblFieldTable>
                  <c15:showDataLabelsRange val="0"/>
                </c:ext>
              </c:extLst>
            </c:dLbl>
            <c:dLbl>
              <c:idx val="2"/>
              <c:tx>
                <c:strRef>
                  <c:f>Formulas!$P$52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{F8E63517-A3D1-40A2-94A6-2795E97AB048}</c15:txfldGUID>
                      <c15:f>Formulas!$P$52</c15:f>
                      <c15:dlblFieldTableCache>
                        <c:ptCount val="1"/>
                      </c15:dlblFieldTableCache>
                    </c15:dlblFTEntry>
                  </c15:dlblFieldTable>
                  <c15:showDataLabelsRange val="0"/>
                </c:ext>
              </c:extLst>
            </c:dLbl>
            <c:dLbl>
              <c:idx val="3"/>
              <c:tx>
                <c:strRef>
                  <c:f>Formulas!$P$53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{0C81E438-1B76-4CA6-B5DA-29B3EA84DEF7}</c15:txfldGUID>
                      <c15:f>Formulas!$P$53</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Formulas!$M$50:$M$53</c:f>
              <c:strCache>
                <c:ptCount val="4"/>
                <c:pt idx="0">
                  <c:v>ES</c:v>
                </c:pt>
                <c:pt idx="1">
                  <c:v>TH</c:v>
                </c:pt>
                <c:pt idx="2">
                  <c:v>RR</c:v>
                </c:pt>
                <c:pt idx="3">
                  <c:v>All Programs</c:v>
                </c:pt>
              </c:strCache>
            </c:strRef>
          </c:cat>
          <c:val>
            <c:numRef>
              <c:f>Formulas!$O$50:$O$53</c:f>
              <c:numCache>
                <c:formatCode>#,##0</c:formatCode>
                <c:ptCount val="4"/>
                <c:pt idx="0">
                  <c:v>402</c:v>
                </c:pt>
                <c:pt idx="1">
                  <c:v>255.99999999999997</c:v>
                </c:pt>
                <c:pt idx="2">
                  <c:v>347</c:v>
                </c:pt>
                <c:pt idx="3">
                  <c:v>1005</c:v>
                </c:pt>
              </c:numCache>
            </c:numRef>
          </c:val>
        </c:ser>
        <c:dLbls>
          <c:showLegendKey val="0"/>
          <c:showVal val="1"/>
          <c:showCatName val="0"/>
          <c:showSerName val="0"/>
          <c:showPercent val="0"/>
          <c:showBubbleSize val="0"/>
        </c:dLbls>
        <c:gapWidth val="75"/>
        <c:axId val="604747760"/>
        <c:axId val="604746192"/>
      </c:barChart>
      <c:catAx>
        <c:axId val="609480936"/>
        <c:scaling>
          <c:orientation val="minMax"/>
        </c:scaling>
        <c:delete val="0"/>
        <c:axPos val="b"/>
        <c:numFmt formatCode="General" sourceLinked="0"/>
        <c:majorTickMark val="out"/>
        <c:minorTickMark val="none"/>
        <c:tickLblPos val="nextTo"/>
        <c:crossAx val="604750112"/>
        <c:crosses val="autoZero"/>
        <c:auto val="1"/>
        <c:lblAlgn val="ctr"/>
        <c:lblOffset val="100"/>
        <c:noMultiLvlLbl val="0"/>
      </c:catAx>
      <c:valAx>
        <c:axId val="604750112"/>
        <c:scaling>
          <c:orientation val="minMax"/>
        </c:scaling>
        <c:delete val="0"/>
        <c:axPos val="l"/>
        <c:majorGridlines/>
        <c:numFmt formatCode="#,##0" sourceLinked="1"/>
        <c:majorTickMark val="out"/>
        <c:minorTickMark val="none"/>
        <c:tickLblPos val="nextTo"/>
        <c:crossAx val="609480936"/>
        <c:crosses val="autoZero"/>
        <c:crossBetween val="between"/>
      </c:valAx>
      <c:valAx>
        <c:axId val="604746192"/>
        <c:scaling>
          <c:orientation val="minMax"/>
        </c:scaling>
        <c:delete val="1"/>
        <c:axPos val="r"/>
        <c:numFmt formatCode="#,##0" sourceLinked="1"/>
        <c:majorTickMark val="out"/>
        <c:minorTickMark val="none"/>
        <c:tickLblPos val="none"/>
        <c:crossAx val="604747760"/>
        <c:crosses val="max"/>
        <c:crossBetween val="between"/>
      </c:valAx>
      <c:catAx>
        <c:axId val="604747760"/>
        <c:scaling>
          <c:orientation val="minMax"/>
        </c:scaling>
        <c:delete val="1"/>
        <c:axPos val="b"/>
        <c:numFmt formatCode="General" sourceLinked="1"/>
        <c:majorTickMark val="out"/>
        <c:minorTickMark val="none"/>
        <c:tickLblPos val="none"/>
        <c:crossAx val="60474619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2046"/>
          <c:y val="0.90702354913969052"/>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Formulas!$L$56</c:f>
          <c:strCache>
            <c:ptCount val="1"/>
            <c:pt idx="0">
              <c:v>10C. Change in Average Cost per Permanent Housing Exit
All Households</c:v>
            </c:pt>
          </c:strCache>
        </c:strRef>
      </c:tx>
      <c:layout>
        <c:manualLayout>
          <c:xMode val="edge"/>
          <c:yMode val="edge"/>
          <c:x val="1.99515065416593E-3"/>
          <c:y val="1.9713826094319054E-3"/>
        </c:manualLayout>
      </c:layout>
      <c:overlay val="0"/>
      <c:txPr>
        <a:bodyPr/>
        <a:lstStyle/>
        <a:p>
          <a:pPr algn="l">
            <a:defRPr sz="1190"/>
          </a:pPr>
          <a:endParaRPr lang="en-US"/>
        </a:p>
      </c:txPr>
    </c:title>
    <c:autoTitleDeleted val="0"/>
    <c:plotArea>
      <c:layout>
        <c:manualLayout>
          <c:layoutTarget val="inner"/>
          <c:xMode val="edge"/>
          <c:yMode val="edge"/>
          <c:x val="0.13525240594925633"/>
          <c:y val="0.18509084751502997"/>
          <c:w val="0.83419203849519719"/>
          <c:h val="0.6244714249428498"/>
        </c:manualLayout>
      </c:layout>
      <c:barChart>
        <c:barDir val="col"/>
        <c:grouping val="clustered"/>
        <c:varyColors val="0"/>
        <c:ser>
          <c:idx val="0"/>
          <c:order val="0"/>
          <c:tx>
            <c:strRef>
              <c:f>Formulas!$N$55</c:f>
              <c:strCache>
                <c:ptCount val="1"/>
                <c:pt idx="0">
                  <c:v>Current $/PH Exit</c:v>
                </c:pt>
              </c:strCache>
            </c:strRef>
          </c:tx>
          <c:invertIfNegative val="0"/>
          <c:dLbls>
            <c:delete val="1"/>
          </c:dLbls>
          <c:cat>
            <c:strRef>
              <c:f>Formulas!$M$56:$M$59</c:f>
              <c:strCache>
                <c:ptCount val="4"/>
                <c:pt idx="0">
                  <c:v>ES</c:v>
                </c:pt>
                <c:pt idx="1">
                  <c:v>TH</c:v>
                </c:pt>
                <c:pt idx="2">
                  <c:v>RR</c:v>
                </c:pt>
                <c:pt idx="3">
                  <c:v>All Programs</c:v>
                </c:pt>
              </c:strCache>
            </c:strRef>
          </c:cat>
          <c:val>
            <c:numRef>
              <c:f>Formulas!$N$56:$N$59</c:f>
              <c:numCache>
                <c:formatCode>"$"#,##0</c:formatCode>
                <c:ptCount val="4"/>
                <c:pt idx="0">
                  <c:v>7960</c:v>
                </c:pt>
                <c:pt idx="1">
                  <c:v>18750</c:v>
                </c:pt>
                <c:pt idx="2">
                  <c:v>4308</c:v>
                </c:pt>
                <c:pt idx="3">
                  <c:v>10339.333333333334</c:v>
                </c:pt>
              </c:numCache>
            </c:numRef>
          </c:val>
        </c:ser>
        <c:ser>
          <c:idx val="1"/>
          <c:order val="1"/>
          <c:tx>
            <c:strRef>
              <c:f>Formulas!$O$55</c:f>
              <c:strCache>
                <c:ptCount val="1"/>
                <c:pt idx="0">
                  <c:v>New $/PH Exit</c:v>
                </c:pt>
              </c:strCache>
            </c:strRef>
          </c:tx>
          <c:invertIfNegative val="0"/>
          <c:dLbls>
            <c:dLbl>
              <c:idx val="0"/>
              <c:tx>
                <c:strRef>
                  <c:f>Formulas!$P$56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{88963557-6950-4983-9651-14578E8223B4}</c15:txfldGUID>
                      <c15:f>Formulas!$P$56</c15:f>
                      <c15:dlblFieldTableCache>
                        <c:ptCount val="1"/>
                      </c15:dlblFieldTableCache>
                    </c15:dlblFTEntry>
                  </c15:dlblFieldTable>
                  <c15:showDataLabelsRange val="0"/>
                </c:ext>
              </c:extLst>
            </c:dLbl>
            <c:dLbl>
              <c:idx val="1"/>
              <c:tx>
                <c:strRef>
                  <c:f>Formulas!$P$57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{9E7F7B5E-F814-4708-8C14-61BEFE3DE476}</c15:txfldGUID>
                      <c15:f>Formulas!$P$57</c15:f>
                      <c15:dlblFieldTableCache>
                        <c:ptCount val="1"/>
                      </c15:dlblFieldTableCache>
                    </c15:dlblFTEntry>
                  </c15:dlblFieldTable>
                  <c15:showDataLabelsRange val="0"/>
                </c:ext>
              </c:extLst>
            </c:dLbl>
            <c:dLbl>
              <c:idx val="2"/>
              <c:tx>
                <c:strRef>
                  <c:f>Formulas!$P$58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{C4358FD2-67E6-4DFB-A64B-69C170614BFB}</c15:txfldGUID>
                      <c15:f>Formulas!$P$58</c15:f>
                      <c15:dlblFieldTableCache>
                        <c:ptCount val="1"/>
                      </c15:dlblFieldTableCache>
                    </c15:dlblFTEntry>
                  </c15:dlblFieldTable>
                  <c15:showDataLabelsRange val="0"/>
                </c:ext>
              </c:extLst>
            </c:dLbl>
            <c:dLbl>
              <c:idx val="3"/>
              <c:tx>
                <c:strRef>
                  <c:f>Formulas!$P$59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{0B852CDB-EFA4-452B-AFB1-9CF66166A04A}</c15:txfldGUID>
                      <c15:f>Formulas!$P$59</c15:f>
                      <c15:dlblFieldTableCache>
                        <c:ptCount val="1"/>
                      </c15:dlblFieldTableCache>
                    </c15:dlblFTEntry>
                  </c15:dlblFieldTable>
                  <c15:showDataLabelsRange val="0"/>
                </c:ext>
              </c:extLst>
            </c:dLbl>
            <c:spPr>
              <a:noFill/>
              <a:ln>
                <a:noFill/>
              </a:ln>
              <a:effectLst/>
            </c:spPr>
            <c:txPr>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Formulas!$M$56:$M$59</c:f>
              <c:strCache>
                <c:ptCount val="4"/>
                <c:pt idx="0">
                  <c:v>ES</c:v>
                </c:pt>
                <c:pt idx="1">
                  <c:v>TH</c:v>
                </c:pt>
                <c:pt idx="2">
                  <c:v>RR</c:v>
                </c:pt>
                <c:pt idx="3">
                  <c:v>All Programs</c:v>
                </c:pt>
              </c:strCache>
            </c:strRef>
          </c:cat>
          <c:val>
            <c:numRef>
              <c:f>Formulas!$O$56:$O$59</c:f>
              <c:numCache>
                <c:formatCode>"$"#,##0</c:formatCode>
                <c:ptCount val="4"/>
                <c:pt idx="0">
                  <c:v>7960</c:v>
                </c:pt>
                <c:pt idx="1">
                  <c:v>18750</c:v>
                </c:pt>
                <c:pt idx="2">
                  <c:v>4308</c:v>
                </c:pt>
                <c:pt idx="3">
                  <c:v>10339.333333333334</c:v>
                </c:pt>
              </c:numCache>
            </c:numRef>
          </c:val>
        </c:ser>
        <c:dLbls>
          <c:showLegendKey val="0"/>
          <c:showVal val="1"/>
          <c:showCatName val="0"/>
          <c:showSerName val="0"/>
          <c:showPercent val="0"/>
          <c:showBubbleSize val="0"/>
        </c:dLbls>
        <c:gapWidth val="75"/>
        <c:axId val="604749328"/>
        <c:axId val="604748544"/>
      </c:barChart>
      <c:barChart>
        <c:barDir val="col"/>
        <c:grouping val="clustered"/>
        <c:varyColors val="0"/>
        <c:ser>
          <c:idx val="2"/>
          <c:order val="2"/>
          <c:tx>
            <c:strRef>
              <c:f>Formulas!$Q$55</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Formulas!$M$56:$M$59</c:f>
              <c:strCache>
                <c:ptCount val="4"/>
                <c:pt idx="0">
                  <c:v>ES</c:v>
                </c:pt>
                <c:pt idx="1">
                  <c:v>TH</c:v>
                </c:pt>
                <c:pt idx="2">
                  <c:v>RR</c:v>
                </c:pt>
                <c:pt idx="3">
                  <c:v>All Programs</c:v>
                </c:pt>
              </c:strCache>
            </c:strRef>
          </c:cat>
          <c:val>
            <c:numRef>
              <c:f>Formulas!$Q$56:$Q$59</c:f>
              <c:numCache>
                <c:formatCode>"$"#,##0</c:formatCode>
                <c:ptCount val="4"/>
                <c:pt idx="0">
                  <c:v>7960</c:v>
                </c:pt>
                <c:pt idx="1">
                  <c:v>18750</c:v>
                </c:pt>
                <c:pt idx="2">
                  <c:v>4308</c:v>
                </c:pt>
                <c:pt idx="3">
                  <c:v>10339.333333333334</c:v>
                </c:pt>
              </c:numCache>
            </c:numRef>
          </c:val>
        </c:ser>
        <c:ser>
          <c:idx val="3"/>
          <c:order val="3"/>
          <c:tx>
            <c:strRef>
              <c:f>Formulas!$R$55</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Formulas!$M$56:$M$59</c:f>
              <c:strCache>
                <c:ptCount val="4"/>
                <c:pt idx="0">
                  <c:v>ES</c:v>
                </c:pt>
                <c:pt idx="1">
                  <c:v>TH</c:v>
                </c:pt>
                <c:pt idx="2">
                  <c:v>RR</c:v>
                </c:pt>
                <c:pt idx="3">
                  <c:v>All Programs</c:v>
                </c:pt>
              </c:strCache>
            </c:strRef>
          </c:cat>
          <c:val>
            <c:numRef>
              <c:f>Formulas!$R$56:$R$59</c:f>
              <c:numCache>
                <c:formatCode>"$"#,##0</c:formatCode>
                <c:ptCount val="4"/>
                <c:pt idx="0">
                  <c:v>7960</c:v>
                </c:pt>
                <c:pt idx="1">
                  <c:v>18750</c:v>
                </c:pt>
                <c:pt idx="2">
                  <c:v>4308</c:v>
                </c:pt>
                <c:pt idx="3">
                  <c:v>10339.333333333334</c:v>
                </c:pt>
              </c:numCache>
            </c:numRef>
          </c:val>
        </c:ser>
        <c:dLbls>
          <c:showLegendKey val="0"/>
          <c:showVal val="0"/>
          <c:showCatName val="0"/>
          <c:showSerName val="0"/>
          <c:showPercent val="0"/>
          <c:showBubbleSize val="0"/>
        </c:dLbls>
        <c:gapWidth val="75"/>
        <c:axId val="604752856"/>
        <c:axId val="604749720"/>
      </c:barChart>
      <c:catAx>
        <c:axId val="604749328"/>
        <c:scaling>
          <c:orientation val="minMax"/>
        </c:scaling>
        <c:delete val="0"/>
        <c:axPos val="b"/>
        <c:numFmt formatCode="General" sourceLinked="0"/>
        <c:majorTickMark val="none"/>
        <c:minorTickMark val="none"/>
        <c:tickLblPos val="nextTo"/>
        <c:crossAx val="604748544"/>
        <c:crosses val="autoZero"/>
        <c:auto val="1"/>
        <c:lblAlgn val="ctr"/>
        <c:lblOffset val="100"/>
        <c:noMultiLvlLbl val="0"/>
      </c:catAx>
      <c:valAx>
        <c:axId val="604748544"/>
        <c:scaling>
          <c:orientation val="minMax"/>
        </c:scaling>
        <c:delete val="0"/>
        <c:axPos val="l"/>
        <c:majorGridlines/>
        <c:numFmt formatCode="&quot;$&quot;#,##0" sourceLinked="1"/>
        <c:majorTickMark val="none"/>
        <c:minorTickMark val="none"/>
        <c:tickLblPos val="nextTo"/>
        <c:crossAx val="604749328"/>
        <c:crosses val="autoZero"/>
        <c:crossBetween val="between"/>
      </c:valAx>
      <c:valAx>
        <c:axId val="604749720"/>
        <c:scaling>
          <c:orientation val="minMax"/>
        </c:scaling>
        <c:delete val="1"/>
        <c:axPos val="r"/>
        <c:numFmt formatCode="&quot;$&quot;#,##0" sourceLinked="1"/>
        <c:majorTickMark val="out"/>
        <c:minorTickMark val="none"/>
        <c:tickLblPos val="none"/>
        <c:crossAx val="604752856"/>
        <c:crosses val="max"/>
        <c:crossBetween val="between"/>
      </c:valAx>
      <c:catAx>
        <c:axId val="604752856"/>
        <c:scaling>
          <c:orientation val="minMax"/>
        </c:scaling>
        <c:delete val="1"/>
        <c:axPos val="b"/>
        <c:numFmt formatCode="General" sourceLinked="1"/>
        <c:majorTickMark val="out"/>
        <c:minorTickMark val="none"/>
        <c:tickLblPos val="none"/>
        <c:crossAx val="60474972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768766404199484"/>
          <c:y val="0.9116531787693205"/>
          <c:w val="0.47018000874890636"/>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Formulas!$L$62</c:f>
          <c:strCache>
            <c:ptCount val="1"/>
            <c:pt idx="0">
              <c:v>8A. Average LOS Single Adults</c:v>
            </c:pt>
          </c:strCache>
        </c:strRef>
      </c:tx>
      <c:layout>
        <c:manualLayout>
          <c:xMode val="edge"/>
          <c:yMode val="edge"/>
          <c:x val="1.4658107495599012E-3"/>
          <c:y val="1.388888888888893E-2"/>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11"/>
        </c:manualLayout>
      </c:layout>
      <c:barChart>
        <c:barDir val="col"/>
        <c:grouping val="clustered"/>
        <c:varyColors val="0"/>
        <c:ser>
          <c:idx val="0"/>
          <c:order val="0"/>
          <c:tx>
            <c:strRef>
              <c:f>Formulas!$N$61</c:f>
              <c:strCache>
                <c:ptCount val="1"/>
                <c:pt idx="0">
                  <c:v>Current LOS</c:v>
                </c:pt>
              </c:strCache>
            </c:strRef>
          </c:tx>
          <c:invertIfNegative val="0"/>
          <c:dLbls>
            <c:delete val="1"/>
          </c:dLbls>
          <c:cat>
            <c:strRef>
              <c:f>Formulas!$M$62:$M$65</c:f>
              <c:strCache>
                <c:ptCount val="4"/>
                <c:pt idx="0">
                  <c:v>ES</c:v>
                </c:pt>
                <c:pt idx="1">
                  <c:v>TH</c:v>
                </c:pt>
                <c:pt idx="2">
                  <c:v>RR</c:v>
                </c:pt>
                <c:pt idx="3">
                  <c:v>All Programs</c:v>
                </c:pt>
              </c:strCache>
            </c:strRef>
          </c:cat>
          <c:val>
            <c:numRef>
              <c:f>Formulas!$N$62:$N$65</c:f>
              <c:numCache>
                <c:formatCode>0</c:formatCode>
                <c:ptCount val="4"/>
                <c:pt idx="0">
                  <c:v>47.096774193548384</c:v>
                </c:pt>
                <c:pt idx="1">
                  <c:v>264.04255319148939</c:v>
                </c:pt>
                <c:pt idx="2">
                  <c:v>121.66666666666667</c:v>
                </c:pt>
                <c:pt idx="3">
                  <c:v>144.26866468390148</c:v>
                </c:pt>
              </c:numCache>
            </c:numRef>
          </c:val>
        </c:ser>
        <c:ser>
          <c:idx val="1"/>
          <c:order val="1"/>
          <c:tx>
            <c:strRef>
              <c:f>Formulas!$O$61</c:f>
              <c:strCache>
                <c:ptCount val="1"/>
                <c:pt idx="0">
                  <c:v>New LOS</c:v>
                </c:pt>
              </c:strCache>
            </c:strRef>
          </c:tx>
          <c:invertIfNegative val="0"/>
          <c:dLbls>
            <c:dLbl>
              <c:idx val="0"/>
              <c:tx>
                <c:strRef>
                  <c:f>Formulas!$P$62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{D63ADE06-DDC3-4703-A89F-AD1D99DCC398}</c15:txfldGUID>
                      <c15:f>Formulas!$P$62</c15:f>
                      <c15:dlblFieldTableCache>
                        <c:ptCount val="1"/>
                      </c15:dlblFieldTableCache>
                    </c15:dlblFTEntry>
                  </c15:dlblFieldTable>
                  <c15:showDataLabelsRange val="0"/>
                </c:ext>
              </c:extLst>
            </c:dLbl>
            <c:dLbl>
              <c:idx val="1"/>
              <c:tx>
                <c:strRef>
                  <c:f>Formulas!$P$63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{B1EE541F-7101-4F8D-9583-08728FEC3910}</c15:txfldGUID>
                      <c15:f>Formulas!$P$63</c15:f>
                      <c15:dlblFieldTableCache>
                        <c:ptCount val="1"/>
                      </c15:dlblFieldTableCache>
                    </c15:dlblFTEntry>
                  </c15:dlblFieldTable>
                  <c15:showDataLabelsRange val="0"/>
                </c:ext>
              </c:extLst>
            </c:dLbl>
            <c:dLbl>
              <c:idx val="2"/>
              <c:tx>
                <c:strRef>
                  <c:f>Formulas!$P$64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{BA026624-60A2-4741-8E8A-289B023A0926}</c15:txfldGUID>
                      <c15:f>Formulas!$P$64</c15:f>
                      <c15:dlblFieldTableCache>
                        <c:ptCount val="1"/>
                      </c15:dlblFieldTableCache>
                    </c15:dlblFTEntry>
                  </c15:dlblFieldTable>
                  <c15:showDataLabelsRange val="0"/>
                </c:ext>
              </c:extLst>
            </c:dLbl>
            <c:dLbl>
              <c:idx val="3"/>
              <c:tx>
                <c:strRef>
                  <c:f>Formulas!$P$65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{795A9D5B-C497-4832-8F8B-9489437CE43B}</c15:txfldGUID>
                      <c15:f>Formulas!$P$65</c15:f>
                      <c15:dlblFieldTableCache>
                        <c:ptCount val="1"/>
                      </c15:dlblFieldTableCache>
                    </c15:dlblFTEntry>
                  </c15:dlblFieldTable>
                  <c15:showDataLabelsRange val="0"/>
                </c:ext>
              </c:extLst>
            </c:dLbl>
            <c:spPr>
              <a:noFill/>
              <a:ln>
                <a:noFill/>
              </a:ln>
              <a:effectLst/>
            </c:spPr>
            <c:txPr>
              <a:bodyPr/>
              <a:lstStyle/>
              <a:p>
                <a:pPr>
                  <a:defRPr sz="12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Formulas!$M$62:$M$65</c:f>
              <c:strCache>
                <c:ptCount val="4"/>
                <c:pt idx="0">
                  <c:v>ES</c:v>
                </c:pt>
                <c:pt idx="1">
                  <c:v>TH</c:v>
                </c:pt>
                <c:pt idx="2">
                  <c:v>RR</c:v>
                </c:pt>
                <c:pt idx="3">
                  <c:v>All Programs</c:v>
                </c:pt>
              </c:strCache>
            </c:strRef>
          </c:cat>
          <c:val>
            <c:numRef>
              <c:f>Formulas!$O$62:$O$65</c:f>
              <c:numCache>
                <c:formatCode>0</c:formatCode>
                <c:ptCount val="4"/>
                <c:pt idx="0">
                  <c:v>47.096774193548384</c:v>
                </c:pt>
                <c:pt idx="1">
                  <c:v>264.04255319148939</c:v>
                </c:pt>
                <c:pt idx="2">
                  <c:v>121.66666666666667</c:v>
                </c:pt>
                <c:pt idx="3">
                  <c:v>144.26866468390148</c:v>
                </c:pt>
              </c:numCache>
            </c:numRef>
          </c:val>
        </c:ser>
        <c:dLbls>
          <c:showLegendKey val="0"/>
          <c:showVal val="1"/>
          <c:showCatName val="0"/>
          <c:showSerName val="0"/>
          <c:showPercent val="0"/>
          <c:showBubbleSize val="0"/>
        </c:dLbls>
        <c:gapWidth val="75"/>
        <c:overlap val="-25"/>
        <c:axId val="604750504"/>
        <c:axId val="604753248"/>
      </c:barChart>
      <c:barChart>
        <c:barDir val="col"/>
        <c:grouping val="clustered"/>
        <c:varyColors val="0"/>
        <c:ser>
          <c:idx val="2"/>
          <c:order val="2"/>
          <c:tx>
            <c:strRef>
              <c:f>Formulas!$Q$61</c:f>
              <c:strCache>
                <c:ptCount val="1"/>
                <c:pt idx="0">
                  <c:v>Current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Formulas!$M$62:$M$65</c:f>
              <c:strCache>
                <c:ptCount val="4"/>
                <c:pt idx="0">
                  <c:v>ES</c:v>
                </c:pt>
                <c:pt idx="1">
                  <c:v>TH</c:v>
                </c:pt>
                <c:pt idx="2">
                  <c:v>RR</c:v>
                </c:pt>
                <c:pt idx="3">
                  <c:v>All Programs</c:v>
                </c:pt>
              </c:strCache>
            </c:strRef>
          </c:cat>
          <c:val>
            <c:numRef>
              <c:f>Formulas!$Q$62:$Q$65</c:f>
              <c:numCache>
                <c:formatCode>#,##0</c:formatCode>
                <c:ptCount val="4"/>
                <c:pt idx="0">
                  <c:v>47.096774193548384</c:v>
                </c:pt>
                <c:pt idx="1">
                  <c:v>264.04255319148939</c:v>
                </c:pt>
                <c:pt idx="2">
                  <c:v>121.66666666666667</c:v>
                </c:pt>
                <c:pt idx="3">
                  <c:v>144.26866468390148</c:v>
                </c:pt>
              </c:numCache>
            </c:numRef>
          </c:val>
        </c:ser>
        <c:ser>
          <c:idx val="3"/>
          <c:order val="3"/>
          <c:tx>
            <c:strRef>
              <c:f>Formulas!$R$61</c:f>
              <c:strCache>
                <c:ptCount val="1"/>
                <c:pt idx="0">
                  <c:v>New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Formulas!$M$62:$M$65</c:f>
              <c:strCache>
                <c:ptCount val="4"/>
                <c:pt idx="0">
                  <c:v>ES</c:v>
                </c:pt>
                <c:pt idx="1">
                  <c:v>TH</c:v>
                </c:pt>
                <c:pt idx="2">
                  <c:v>RR</c:v>
                </c:pt>
                <c:pt idx="3">
                  <c:v>All Programs</c:v>
                </c:pt>
              </c:strCache>
            </c:strRef>
          </c:cat>
          <c:val>
            <c:numRef>
              <c:f>Formulas!$R$62:$R$65</c:f>
              <c:numCache>
                <c:formatCode>#,##0</c:formatCode>
                <c:ptCount val="4"/>
                <c:pt idx="0">
                  <c:v>47.096774193548384</c:v>
                </c:pt>
                <c:pt idx="1">
                  <c:v>264.04255319148939</c:v>
                </c:pt>
                <c:pt idx="2">
                  <c:v>121.66666666666667</c:v>
                </c:pt>
                <c:pt idx="3">
                  <c:v>144.26866468390148</c:v>
                </c:pt>
              </c:numCache>
            </c:numRef>
          </c:val>
        </c:ser>
        <c:dLbls>
          <c:showLegendKey val="0"/>
          <c:showVal val="0"/>
          <c:showCatName val="0"/>
          <c:showSerName val="0"/>
          <c:showPercent val="0"/>
          <c:showBubbleSize val="0"/>
        </c:dLbls>
        <c:gapWidth val="75"/>
        <c:axId val="604748936"/>
        <c:axId val="604746976"/>
      </c:barChart>
      <c:catAx>
        <c:axId val="604750504"/>
        <c:scaling>
          <c:orientation val="minMax"/>
        </c:scaling>
        <c:delete val="0"/>
        <c:axPos val="b"/>
        <c:numFmt formatCode="General" sourceLinked="0"/>
        <c:majorTickMark val="none"/>
        <c:minorTickMark val="none"/>
        <c:tickLblPos val="nextTo"/>
        <c:crossAx val="604753248"/>
        <c:crosses val="autoZero"/>
        <c:auto val="1"/>
        <c:lblAlgn val="ctr"/>
        <c:lblOffset val="100"/>
        <c:noMultiLvlLbl val="0"/>
      </c:catAx>
      <c:valAx>
        <c:axId val="604753248"/>
        <c:scaling>
          <c:orientation val="minMax"/>
        </c:scaling>
        <c:delete val="0"/>
        <c:axPos val="l"/>
        <c:majorGridlines/>
        <c:numFmt formatCode="0" sourceLinked="1"/>
        <c:majorTickMark val="none"/>
        <c:minorTickMark val="none"/>
        <c:tickLblPos val="nextTo"/>
        <c:crossAx val="604750504"/>
        <c:crosses val="autoZero"/>
        <c:crossBetween val="between"/>
      </c:valAx>
      <c:valAx>
        <c:axId val="604746976"/>
        <c:scaling>
          <c:orientation val="minMax"/>
        </c:scaling>
        <c:delete val="1"/>
        <c:axPos val="r"/>
        <c:numFmt formatCode="#,##0" sourceLinked="1"/>
        <c:majorTickMark val="out"/>
        <c:minorTickMark val="none"/>
        <c:tickLblPos val="none"/>
        <c:crossAx val="604748936"/>
        <c:crosses val="max"/>
        <c:crossBetween val="between"/>
      </c:valAx>
      <c:catAx>
        <c:axId val="604748936"/>
        <c:scaling>
          <c:orientation val="minMax"/>
        </c:scaling>
        <c:delete val="1"/>
        <c:axPos val="b"/>
        <c:numFmt formatCode="General" sourceLinked="1"/>
        <c:majorTickMark val="out"/>
        <c:minorTickMark val="none"/>
        <c:tickLblPos val="none"/>
        <c:crossAx val="60474697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155" l="0.70000000000000062" r="0.70000000000000062" t="0.750000000000001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Formulas!$L$68</c:f>
          <c:strCache>
            <c:ptCount val="1"/>
            <c:pt idx="0">
              <c:v>8B. Average LOS Family Households</c:v>
            </c:pt>
          </c:strCache>
        </c:strRef>
      </c:tx>
      <c:layout>
        <c:manualLayout>
          <c:xMode val="edge"/>
          <c:yMode val="edge"/>
          <c:x val="4.1656083312167393E-4"/>
          <c:y val="0"/>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33"/>
        </c:manualLayout>
      </c:layout>
      <c:barChart>
        <c:barDir val="col"/>
        <c:grouping val="clustered"/>
        <c:varyColors val="0"/>
        <c:ser>
          <c:idx val="0"/>
          <c:order val="0"/>
          <c:tx>
            <c:strRef>
              <c:f>Formulas!$N$67</c:f>
              <c:strCache>
                <c:ptCount val="1"/>
                <c:pt idx="0">
                  <c:v>Current LOS</c:v>
                </c:pt>
              </c:strCache>
            </c:strRef>
          </c:tx>
          <c:invertIfNegative val="0"/>
          <c:dLbls>
            <c:delete val="1"/>
          </c:dLbls>
          <c:cat>
            <c:strRef>
              <c:f>Formulas!$M$68:$M$71</c:f>
              <c:strCache>
                <c:ptCount val="4"/>
                <c:pt idx="0">
                  <c:v>ES</c:v>
                </c:pt>
                <c:pt idx="1">
                  <c:v>TH</c:v>
                </c:pt>
                <c:pt idx="2">
                  <c:v>RR</c:v>
                </c:pt>
                <c:pt idx="3">
                  <c:v>All Programs</c:v>
                </c:pt>
              </c:strCache>
            </c:strRef>
          </c:cat>
          <c:val>
            <c:numRef>
              <c:f>Formulas!$N$68:$N$71</c:f>
              <c:numCache>
                <c:formatCode>0</c:formatCode>
                <c:ptCount val="4"/>
                <c:pt idx="0">
                  <c:v>76.395348837209298</c:v>
                </c:pt>
                <c:pt idx="1">
                  <c:v>307.36842105263156</c:v>
                </c:pt>
                <c:pt idx="2">
                  <c:v>99.545454545454547</c:v>
                </c:pt>
                <c:pt idx="3">
                  <c:v>161.10307481176514</c:v>
                </c:pt>
              </c:numCache>
            </c:numRef>
          </c:val>
        </c:ser>
        <c:ser>
          <c:idx val="1"/>
          <c:order val="1"/>
          <c:tx>
            <c:strRef>
              <c:f>Formulas!$O$67</c:f>
              <c:strCache>
                <c:ptCount val="1"/>
                <c:pt idx="0">
                  <c:v>New LOS</c:v>
                </c:pt>
              </c:strCache>
            </c:strRef>
          </c:tx>
          <c:invertIfNegative val="0"/>
          <c:dLbls>
            <c:dLbl>
              <c:idx val="0"/>
              <c:tx>
                <c:strRef>
                  <c:f>Formulas!$P$68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{11385E72-C682-432B-B7FB-EA3BB90A1545}</c15:txfldGUID>
                      <c15:f>Formulas!$P$68</c15:f>
                      <c15:dlblFieldTableCache>
                        <c:ptCount val="1"/>
                      </c15:dlblFieldTableCache>
                    </c15:dlblFTEntry>
                  </c15:dlblFieldTable>
                  <c15:showDataLabelsRange val="0"/>
                </c:ext>
              </c:extLst>
            </c:dLbl>
            <c:dLbl>
              <c:idx val="1"/>
              <c:tx>
                <c:strRef>
                  <c:f>Formulas!$P$69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{337D5F5C-987D-4C1E-B6C7-12753CA008E3}</c15:txfldGUID>
                      <c15:f>Formulas!$P$69</c15:f>
                      <c15:dlblFieldTableCache>
                        <c:ptCount val="1"/>
                      </c15:dlblFieldTableCache>
                    </c15:dlblFTEntry>
                  </c15:dlblFieldTable>
                  <c15:showDataLabelsRange val="0"/>
                </c:ext>
              </c:extLst>
            </c:dLbl>
            <c:dLbl>
              <c:idx val="2"/>
              <c:tx>
                <c:strRef>
                  <c:f>Formulas!$P$70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{BD6A667F-E6FC-4C2B-99B5-1B5002AB90DB}</c15:txfldGUID>
                      <c15:f>Formulas!$P$70</c15:f>
                      <c15:dlblFieldTableCache>
                        <c:ptCount val="1"/>
                      </c15:dlblFieldTableCache>
                    </c15:dlblFTEntry>
                  </c15:dlblFieldTable>
                  <c15:showDataLabelsRange val="0"/>
                </c:ext>
              </c:extLst>
            </c:dLbl>
            <c:dLbl>
              <c:idx val="3"/>
              <c:tx>
                <c:strRef>
                  <c:f>Formulas!$P$71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{CCD0549B-51D4-41CA-8E80-77228F5947A3}</c15:txfldGUID>
                      <c15:f>Formulas!$P$71</c15:f>
                      <c15:dlblFieldTableCache>
                        <c:ptCount val="1"/>
                      </c15:dlblFieldTableCache>
                    </c15:dlblFTEntry>
                  </c15:dlblFieldTable>
                  <c15:showDataLabelsRange val="0"/>
                </c:ext>
              </c:extLst>
            </c:dLbl>
            <c:spPr>
              <a:noFill/>
              <a:ln>
                <a:noFill/>
              </a:ln>
              <a:effectLst/>
            </c:spPr>
            <c:txPr>
              <a:bodyPr/>
              <a:lstStyle/>
              <a:p>
                <a:pPr>
                  <a:defRPr sz="12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Formulas!$M$68:$M$71</c:f>
              <c:strCache>
                <c:ptCount val="4"/>
                <c:pt idx="0">
                  <c:v>ES</c:v>
                </c:pt>
                <c:pt idx="1">
                  <c:v>TH</c:v>
                </c:pt>
                <c:pt idx="2">
                  <c:v>RR</c:v>
                </c:pt>
                <c:pt idx="3">
                  <c:v>All Programs</c:v>
                </c:pt>
              </c:strCache>
            </c:strRef>
          </c:cat>
          <c:val>
            <c:numRef>
              <c:f>Formulas!$O$68:$O$71</c:f>
              <c:numCache>
                <c:formatCode>0</c:formatCode>
                <c:ptCount val="4"/>
                <c:pt idx="0">
                  <c:v>76.395348837209298</c:v>
                </c:pt>
                <c:pt idx="1">
                  <c:v>307.36842105263156</c:v>
                </c:pt>
                <c:pt idx="2">
                  <c:v>99.545454545454547</c:v>
                </c:pt>
                <c:pt idx="3">
                  <c:v>161.10307481176514</c:v>
                </c:pt>
              </c:numCache>
            </c:numRef>
          </c:val>
        </c:ser>
        <c:dLbls>
          <c:showLegendKey val="0"/>
          <c:showVal val="1"/>
          <c:showCatName val="0"/>
          <c:showSerName val="0"/>
          <c:showPercent val="0"/>
          <c:showBubbleSize val="0"/>
        </c:dLbls>
        <c:gapWidth val="75"/>
        <c:overlap val="-25"/>
        <c:axId val="604750896"/>
        <c:axId val="604751288"/>
      </c:barChart>
      <c:barChart>
        <c:barDir val="col"/>
        <c:grouping val="clustered"/>
        <c:varyColors val="0"/>
        <c:ser>
          <c:idx val="2"/>
          <c:order val="2"/>
          <c:tx>
            <c:strRef>
              <c:f>Formulas!$Q$67</c:f>
              <c:strCache>
                <c:ptCount val="1"/>
                <c:pt idx="0">
                  <c:v>Current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Formulas!$M$68:$M$71</c:f>
              <c:strCache>
                <c:ptCount val="4"/>
                <c:pt idx="0">
                  <c:v>ES</c:v>
                </c:pt>
                <c:pt idx="1">
                  <c:v>TH</c:v>
                </c:pt>
                <c:pt idx="2">
                  <c:v>RR</c:v>
                </c:pt>
                <c:pt idx="3">
                  <c:v>All Programs</c:v>
                </c:pt>
              </c:strCache>
            </c:strRef>
          </c:cat>
          <c:val>
            <c:numRef>
              <c:f>Formulas!$Q$68:$Q$71</c:f>
              <c:numCache>
                <c:formatCode>#,##0</c:formatCode>
                <c:ptCount val="4"/>
                <c:pt idx="0">
                  <c:v>76.395348837209298</c:v>
                </c:pt>
                <c:pt idx="1">
                  <c:v>307.36842105263156</c:v>
                </c:pt>
                <c:pt idx="2">
                  <c:v>99.545454545454547</c:v>
                </c:pt>
                <c:pt idx="3">
                  <c:v>161.10307481176514</c:v>
                </c:pt>
              </c:numCache>
            </c:numRef>
          </c:val>
        </c:ser>
        <c:ser>
          <c:idx val="3"/>
          <c:order val="3"/>
          <c:tx>
            <c:strRef>
              <c:f>Formulas!$R$67</c:f>
              <c:strCache>
                <c:ptCount val="1"/>
                <c:pt idx="0">
                  <c:v>New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Formulas!$M$68:$M$71</c:f>
              <c:strCache>
                <c:ptCount val="4"/>
                <c:pt idx="0">
                  <c:v>ES</c:v>
                </c:pt>
                <c:pt idx="1">
                  <c:v>TH</c:v>
                </c:pt>
                <c:pt idx="2">
                  <c:v>RR</c:v>
                </c:pt>
                <c:pt idx="3">
                  <c:v>All Programs</c:v>
                </c:pt>
              </c:strCache>
            </c:strRef>
          </c:cat>
          <c:val>
            <c:numRef>
              <c:f>Formulas!$R$68:$R$71</c:f>
              <c:numCache>
                <c:formatCode>#,##0</c:formatCode>
                <c:ptCount val="4"/>
                <c:pt idx="0">
                  <c:v>76.395348837209298</c:v>
                </c:pt>
                <c:pt idx="1">
                  <c:v>307.36842105263156</c:v>
                </c:pt>
                <c:pt idx="2">
                  <c:v>99.545454545454547</c:v>
                </c:pt>
                <c:pt idx="3">
                  <c:v>161.10307481176514</c:v>
                </c:pt>
              </c:numCache>
            </c:numRef>
          </c:val>
        </c:ser>
        <c:dLbls>
          <c:showLegendKey val="0"/>
          <c:showVal val="0"/>
          <c:showCatName val="0"/>
          <c:showSerName val="0"/>
          <c:showPercent val="0"/>
          <c:showBubbleSize val="0"/>
        </c:dLbls>
        <c:gapWidth val="75"/>
        <c:axId val="604745800"/>
        <c:axId val="604751680"/>
      </c:barChart>
      <c:catAx>
        <c:axId val="604750896"/>
        <c:scaling>
          <c:orientation val="minMax"/>
        </c:scaling>
        <c:delete val="0"/>
        <c:axPos val="b"/>
        <c:numFmt formatCode="General" sourceLinked="0"/>
        <c:majorTickMark val="none"/>
        <c:minorTickMark val="none"/>
        <c:tickLblPos val="nextTo"/>
        <c:crossAx val="604751288"/>
        <c:crosses val="autoZero"/>
        <c:auto val="1"/>
        <c:lblAlgn val="ctr"/>
        <c:lblOffset val="100"/>
        <c:noMultiLvlLbl val="0"/>
      </c:catAx>
      <c:valAx>
        <c:axId val="604751288"/>
        <c:scaling>
          <c:orientation val="minMax"/>
        </c:scaling>
        <c:delete val="0"/>
        <c:axPos val="l"/>
        <c:majorGridlines/>
        <c:numFmt formatCode="0" sourceLinked="1"/>
        <c:majorTickMark val="none"/>
        <c:minorTickMark val="none"/>
        <c:tickLblPos val="nextTo"/>
        <c:crossAx val="604750896"/>
        <c:crosses val="autoZero"/>
        <c:crossBetween val="between"/>
      </c:valAx>
      <c:valAx>
        <c:axId val="604751680"/>
        <c:scaling>
          <c:orientation val="minMax"/>
        </c:scaling>
        <c:delete val="1"/>
        <c:axPos val="r"/>
        <c:numFmt formatCode="#,##0" sourceLinked="1"/>
        <c:majorTickMark val="out"/>
        <c:minorTickMark val="none"/>
        <c:tickLblPos val="none"/>
        <c:crossAx val="604745800"/>
        <c:crosses val="max"/>
        <c:crossBetween val="between"/>
      </c:valAx>
      <c:catAx>
        <c:axId val="604745800"/>
        <c:scaling>
          <c:orientation val="minMax"/>
        </c:scaling>
        <c:delete val="1"/>
        <c:axPos val="b"/>
        <c:numFmt formatCode="General" sourceLinked="1"/>
        <c:majorTickMark val="out"/>
        <c:minorTickMark val="none"/>
        <c:tickLblPos val="none"/>
        <c:crossAx val="604751680"/>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rgbClr val="FFFF99">
        <a:alpha val="50000"/>
      </a:srgbClr>
    </a:solidFill>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US" sz="1200"/>
              <a:t>2C. Exits to Permanent</a:t>
            </a:r>
            <a:r>
              <a:rPr lang="en-US" sz="1200" baseline="0"/>
              <a:t> Housing</a:t>
            </a:r>
          </a:p>
          <a:p>
            <a:pPr>
              <a:defRPr sz="1200"/>
            </a:pPr>
            <a:r>
              <a:rPr lang="en-US" sz="1200"/>
              <a:t>All Households</a:t>
            </a:r>
          </a:p>
        </c:rich>
      </c:tx>
      <c:overlay val="0"/>
    </c:title>
    <c:autoTitleDeleted val="0"/>
    <c:plotArea>
      <c:layout>
        <c:manualLayout>
          <c:layoutTarget val="inner"/>
          <c:xMode val="edge"/>
          <c:yMode val="edge"/>
          <c:x val="9.0288452337128622E-2"/>
          <c:y val="0.25262738231042081"/>
          <c:w val="0.8850768438957225"/>
          <c:h val="0.5934914434869295"/>
        </c:manualLayout>
      </c:layout>
      <c:barChart>
        <c:barDir val="col"/>
        <c:grouping val="clustered"/>
        <c:varyColors val="0"/>
        <c:ser>
          <c:idx val="0"/>
          <c:order val="0"/>
          <c:tx>
            <c:strRef>
              <c:f>Formulas!$CK$10</c:f>
              <c:strCache>
                <c:ptCount val="1"/>
                <c:pt idx="0">
                  <c:v>Exits to PH - All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Formulas!$CH$11:$CH$13</c:f>
              <c:strCache>
                <c:ptCount val="3"/>
                <c:pt idx="0">
                  <c:v>Emergency Shelters</c:v>
                </c:pt>
                <c:pt idx="1">
                  <c:v>Transitional Housing</c:v>
                </c:pt>
                <c:pt idx="2">
                  <c:v>Rapid Re-Housing</c:v>
                </c:pt>
              </c:strCache>
            </c:strRef>
          </c:cat>
          <c:val>
            <c:numRef>
              <c:f>Formulas!$CK$11:$CK$13</c:f>
              <c:numCache>
                <c:formatCode>General</c:formatCode>
                <c:ptCount val="3"/>
                <c:pt idx="0">
                  <c:v>402</c:v>
                </c:pt>
                <c:pt idx="1">
                  <c:v>256</c:v>
                </c:pt>
                <c:pt idx="2">
                  <c:v>347</c:v>
                </c:pt>
              </c:numCache>
            </c:numRef>
          </c:val>
        </c:ser>
        <c:dLbls>
          <c:showLegendKey val="0"/>
          <c:showVal val="1"/>
          <c:showCatName val="0"/>
          <c:showSerName val="0"/>
          <c:showPercent val="0"/>
          <c:showBubbleSize val="0"/>
        </c:dLbls>
        <c:gapWidth val="50"/>
        <c:axId val="559014424"/>
        <c:axId val="559013640"/>
      </c:barChart>
      <c:catAx>
        <c:axId val="559014424"/>
        <c:scaling>
          <c:orientation val="minMax"/>
        </c:scaling>
        <c:delete val="0"/>
        <c:axPos val="b"/>
        <c:numFmt formatCode="General" sourceLinked="0"/>
        <c:majorTickMark val="out"/>
        <c:minorTickMark val="none"/>
        <c:tickLblPos val="nextTo"/>
        <c:crossAx val="559013640"/>
        <c:crosses val="autoZero"/>
        <c:auto val="1"/>
        <c:lblAlgn val="ctr"/>
        <c:lblOffset val="100"/>
        <c:noMultiLvlLbl val="0"/>
      </c:catAx>
      <c:valAx>
        <c:axId val="559013640"/>
        <c:scaling>
          <c:orientation val="minMax"/>
        </c:scaling>
        <c:delete val="0"/>
        <c:axPos val="l"/>
        <c:majorGridlines/>
        <c:numFmt formatCode="General" sourceLinked="1"/>
        <c:majorTickMark val="out"/>
        <c:minorTickMark val="none"/>
        <c:tickLblPos val="nextTo"/>
        <c:crossAx val="559014424"/>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062" r="0.70000000000000062" t="0.75000000000000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title>
      <c:tx>
        <c:strRef>
          <c:f>Formulas!$L$74</c:f>
          <c:strCache>
            <c:ptCount val="1"/>
            <c:pt idx="0">
              <c:v>8C. Average LOS All Households</c:v>
            </c:pt>
          </c:strCache>
        </c:strRef>
      </c:tx>
      <c:layout>
        <c:manualLayout>
          <c:xMode val="edge"/>
          <c:yMode val="edge"/>
          <c:x val="2.2082239720035155E-3"/>
          <c:y val="0"/>
        </c:manualLayout>
      </c:layout>
      <c:overlay val="0"/>
      <c:txPr>
        <a:bodyPr/>
        <a:lstStyle/>
        <a:p>
          <a:pPr>
            <a:defRPr sz="1200"/>
          </a:pPr>
          <a:endParaRPr lang="en-US"/>
        </a:p>
      </c:txPr>
    </c:title>
    <c:autoTitleDeleted val="0"/>
    <c:plotArea>
      <c:layout>
        <c:manualLayout>
          <c:layoutTarget val="inner"/>
          <c:xMode val="edge"/>
          <c:yMode val="edge"/>
          <c:x val="8.6071741032370933E-2"/>
          <c:y val="0.16089129483814524"/>
          <c:w val="0.88337270341207352"/>
          <c:h val="0.67181904345290333"/>
        </c:manualLayout>
      </c:layout>
      <c:barChart>
        <c:barDir val="col"/>
        <c:grouping val="clustered"/>
        <c:varyColors val="0"/>
        <c:ser>
          <c:idx val="0"/>
          <c:order val="0"/>
          <c:tx>
            <c:strRef>
              <c:f>Formulas!$N$73</c:f>
              <c:strCache>
                <c:ptCount val="1"/>
                <c:pt idx="0">
                  <c:v>Current LOS</c:v>
                </c:pt>
              </c:strCache>
            </c:strRef>
          </c:tx>
          <c:invertIfNegative val="0"/>
          <c:dLbls>
            <c:delete val="1"/>
          </c:dLbls>
          <c:cat>
            <c:strRef>
              <c:f>Formulas!$M$74:$M$77</c:f>
              <c:strCache>
                <c:ptCount val="4"/>
                <c:pt idx="0">
                  <c:v>ES</c:v>
                </c:pt>
                <c:pt idx="1">
                  <c:v>TH</c:v>
                </c:pt>
                <c:pt idx="2">
                  <c:v>RR</c:v>
                </c:pt>
                <c:pt idx="3">
                  <c:v>All Programs</c:v>
                </c:pt>
              </c:strCache>
            </c:strRef>
          </c:cat>
          <c:val>
            <c:numRef>
              <c:f>Formulas!$N$74:$N$77</c:f>
              <c:numCache>
                <c:formatCode>0</c:formatCode>
                <c:ptCount val="4"/>
                <c:pt idx="0">
                  <c:v>53.459595959595958</c:v>
                </c:pt>
                <c:pt idx="1">
                  <c:v>287.78846153846155</c:v>
                </c:pt>
                <c:pt idx="2">
                  <c:v>107.35294117647059</c:v>
                </c:pt>
                <c:pt idx="3">
                  <c:v>149.5336662248427</c:v>
                </c:pt>
              </c:numCache>
            </c:numRef>
          </c:val>
        </c:ser>
        <c:ser>
          <c:idx val="1"/>
          <c:order val="1"/>
          <c:tx>
            <c:strRef>
              <c:f>Formulas!$O$73</c:f>
              <c:strCache>
                <c:ptCount val="1"/>
                <c:pt idx="0">
                  <c:v>New LOS</c:v>
                </c:pt>
              </c:strCache>
            </c:strRef>
          </c:tx>
          <c:invertIfNegative val="0"/>
          <c:dLbls>
            <c:dLbl>
              <c:idx val="0"/>
              <c:tx>
                <c:strRef>
                  <c:f>Formulas!$P$74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{3058EE7A-F87B-468B-BAED-0C6E1FECE3E2}</c15:txfldGUID>
                      <c15:f>Formulas!$P$74</c15:f>
                      <c15:dlblFieldTableCache>
                        <c:ptCount val="1"/>
                      </c15:dlblFieldTableCache>
                    </c15:dlblFTEntry>
                  </c15:dlblFieldTable>
                  <c15:showDataLabelsRange val="0"/>
                </c:ext>
              </c:extLst>
            </c:dLbl>
            <c:dLbl>
              <c:idx val="1"/>
              <c:tx>
                <c:strRef>
                  <c:f>Formulas!$P$75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{0FB0A1A1-14CE-4523-B170-DDB894AAF255}</c15:txfldGUID>
                      <c15:f>Formulas!$P$75</c15:f>
                      <c15:dlblFieldTableCache>
                        <c:ptCount val="1"/>
                      </c15:dlblFieldTableCache>
                    </c15:dlblFTEntry>
                  </c15:dlblFieldTable>
                  <c15:showDataLabelsRange val="0"/>
                </c:ext>
              </c:extLst>
            </c:dLbl>
            <c:dLbl>
              <c:idx val="2"/>
              <c:tx>
                <c:strRef>
                  <c:f>Formulas!$P$76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{21CB71CE-93A6-44B6-83DD-0AE3B960174F}</c15:txfldGUID>
                      <c15:f>Formulas!$P$76</c15:f>
                      <c15:dlblFieldTableCache>
                        <c:ptCount val="1"/>
                      </c15:dlblFieldTableCache>
                    </c15:dlblFTEntry>
                  </c15:dlblFieldTable>
                  <c15:showDataLabelsRange val="0"/>
                </c:ext>
              </c:extLst>
            </c:dLbl>
            <c:dLbl>
              <c:idx val="3"/>
              <c:tx>
                <c:strRef>
                  <c:f>Formulas!$P$77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{BB94B51F-F3BF-4365-9F7D-9A06718AC6F3}</c15:txfldGUID>
                      <c15:f>Formulas!$P$77</c15:f>
                      <c15:dlblFieldTableCache>
                        <c:ptCount val="1"/>
                      </c15:dlblFieldTableCache>
                    </c15:dlblFTEntry>
                  </c15:dlblFieldTable>
                  <c15:showDataLabelsRange val="0"/>
                </c:ext>
              </c:extLst>
            </c:dLbl>
            <c:spPr>
              <a:noFill/>
              <a:ln>
                <a:noFill/>
              </a:ln>
              <a:effectLst/>
            </c:spPr>
            <c:txPr>
              <a:bodyPr/>
              <a:lstStyle/>
              <a:p>
                <a:pPr>
                  <a:defRPr sz="12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Formulas!$M$74:$M$77</c:f>
              <c:strCache>
                <c:ptCount val="4"/>
                <c:pt idx="0">
                  <c:v>ES</c:v>
                </c:pt>
                <c:pt idx="1">
                  <c:v>TH</c:v>
                </c:pt>
                <c:pt idx="2">
                  <c:v>RR</c:v>
                </c:pt>
                <c:pt idx="3">
                  <c:v>All Programs</c:v>
                </c:pt>
              </c:strCache>
            </c:strRef>
          </c:cat>
          <c:val>
            <c:numRef>
              <c:f>Formulas!$O$74:$O$77</c:f>
              <c:numCache>
                <c:formatCode>0</c:formatCode>
                <c:ptCount val="4"/>
                <c:pt idx="0">
                  <c:v>53.459595959595958</c:v>
                </c:pt>
                <c:pt idx="1">
                  <c:v>287.78846153846155</c:v>
                </c:pt>
                <c:pt idx="2">
                  <c:v>107.35294117647059</c:v>
                </c:pt>
                <c:pt idx="3">
                  <c:v>149.5336662248427</c:v>
                </c:pt>
              </c:numCache>
            </c:numRef>
          </c:val>
        </c:ser>
        <c:dLbls>
          <c:showLegendKey val="0"/>
          <c:showVal val="1"/>
          <c:showCatName val="0"/>
          <c:showSerName val="0"/>
          <c:showPercent val="0"/>
          <c:showBubbleSize val="0"/>
        </c:dLbls>
        <c:gapWidth val="75"/>
        <c:overlap val="-25"/>
        <c:axId val="604752072"/>
        <c:axId val="606243560"/>
      </c:barChart>
      <c:barChart>
        <c:barDir val="col"/>
        <c:grouping val="clustered"/>
        <c:varyColors val="0"/>
        <c:ser>
          <c:idx val="2"/>
          <c:order val="2"/>
          <c:tx>
            <c:strRef>
              <c:f>Formulas!$Q$73</c:f>
              <c:strCache>
                <c:ptCount val="1"/>
                <c:pt idx="0">
                  <c:v>Current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Formulas!$M$74:$M$77</c:f>
              <c:strCache>
                <c:ptCount val="4"/>
                <c:pt idx="0">
                  <c:v>ES</c:v>
                </c:pt>
                <c:pt idx="1">
                  <c:v>TH</c:v>
                </c:pt>
                <c:pt idx="2">
                  <c:v>RR</c:v>
                </c:pt>
                <c:pt idx="3">
                  <c:v>All Programs</c:v>
                </c:pt>
              </c:strCache>
            </c:strRef>
          </c:cat>
          <c:val>
            <c:numRef>
              <c:f>Formulas!$Q$74:$Q$77</c:f>
              <c:numCache>
                <c:formatCode>#,##0</c:formatCode>
                <c:ptCount val="4"/>
                <c:pt idx="0">
                  <c:v>53.459595959595958</c:v>
                </c:pt>
                <c:pt idx="1">
                  <c:v>287.78846153846155</c:v>
                </c:pt>
                <c:pt idx="2">
                  <c:v>107.35294117647059</c:v>
                </c:pt>
                <c:pt idx="3">
                  <c:v>149.5336662248427</c:v>
                </c:pt>
              </c:numCache>
            </c:numRef>
          </c:val>
        </c:ser>
        <c:ser>
          <c:idx val="3"/>
          <c:order val="3"/>
          <c:tx>
            <c:strRef>
              <c:f>Formulas!$R$73</c:f>
              <c:strCache>
                <c:ptCount val="1"/>
                <c:pt idx="0">
                  <c:v>New LOS</c:v>
                </c:pt>
              </c:strCache>
            </c:strRef>
          </c:tx>
          <c:invertIfNegative val="0"/>
          <c:dLbls>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Formulas!$M$74:$M$77</c:f>
              <c:strCache>
                <c:ptCount val="4"/>
                <c:pt idx="0">
                  <c:v>ES</c:v>
                </c:pt>
                <c:pt idx="1">
                  <c:v>TH</c:v>
                </c:pt>
                <c:pt idx="2">
                  <c:v>RR</c:v>
                </c:pt>
                <c:pt idx="3">
                  <c:v>All Programs</c:v>
                </c:pt>
              </c:strCache>
            </c:strRef>
          </c:cat>
          <c:val>
            <c:numRef>
              <c:f>Formulas!$R$74:$R$77</c:f>
              <c:numCache>
                <c:formatCode>#,##0</c:formatCode>
                <c:ptCount val="4"/>
                <c:pt idx="0">
                  <c:v>53.459595959595958</c:v>
                </c:pt>
                <c:pt idx="1">
                  <c:v>287.78846153846155</c:v>
                </c:pt>
                <c:pt idx="2">
                  <c:v>107.35294117647059</c:v>
                </c:pt>
                <c:pt idx="3">
                  <c:v>149.5336662248427</c:v>
                </c:pt>
              </c:numCache>
            </c:numRef>
          </c:val>
        </c:ser>
        <c:dLbls>
          <c:showLegendKey val="0"/>
          <c:showVal val="0"/>
          <c:showCatName val="0"/>
          <c:showSerName val="0"/>
          <c:showPercent val="0"/>
          <c:showBubbleSize val="0"/>
        </c:dLbls>
        <c:gapWidth val="75"/>
        <c:axId val="606241600"/>
        <c:axId val="606245128"/>
      </c:barChart>
      <c:catAx>
        <c:axId val="604752072"/>
        <c:scaling>
          <c:orientation val="minMax"/>
        </c:scaling>
        <c:delete val="0"/>
        <c:axPos val="b"/>
        <c:numFmt formatCode="General" sourceLinked="0"/>
        <c:majorTickMark val="none"/>
        <c:minorTickMark val="none"/>
        <c:tickLblPos val="nextTo"/>
        <c:crossAx val="606243560"/>
        <c:crosses val="autoZero"/>
        <c:auto val="1"/>
        <c:lblAlgn val="ctr"/>
        <c:lblOffset val="100"/>
        <c:noMultiLvlLbl val="0"/>
      </c:catAx>
      <c:valAx>
        <c:axId val="606243560"/>
        <c:scaling>
          <c:orientation val="minMax"/>
        </c:scaling>
        <c:delete val="0"/>
        <c:axPos val="l"/>
        <c:majorGridlines/>
        <c:numFmt formatCode="0" sourceLinked="1"/>
        <c:majorTickMark val="none"/>
        <c:minorTickMark val="none"/>
        <c:tickLblPos val="nextTo"/>
        <c:crossAx val="604752072"/>
        <c:crosses val="autoZero"/>
        <c:crossBetween val="between"/>
      </c:valAx>
      <c:valAx>
        <c:axId val="606245128"/>
        <c:scaling>
          <c:orientation val="minMax"/>
        </c:scaling>
        <c:delete val="1"/>
        <c:axPos val="r"/>
        <c:numFmt formatCode="#,##0" sourceLinked="1"/>
        <c:majorTickMark val="out"/>
        <c:minorTickMark val="none"/>
        <c:tickLblPos val="none"/>
        <c:crossAx val="606241600"/>
        <c:crosses val="max"/>
        <c:crossBetween val="between"/>
      </c:valAx>
      <c:catAx>
        <c:axId val="606241600"/>
        <c:scaling>
          <c:orientation val="minMax"/>
        </c:scaling>
        <c:delete val="1"/>
        <c:axPos val="b"/>
        <c:numFmt formatCode="General" sourceLinked="1"/>
        <c:majorTickMark val="out"/>
        <c:minorTickMark val="none"/>
        <c:tickLblPos val="none"/>
        <c:crossAx val="606245128"/>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2.1489501312335806E-3"/>
          <c:y val="0.91628280839894949"/>
          <c:w val="0.35681321084864503"/>
          <c:h val="8.3717191601050026E-2"/>
        </c:manualLayout>
      </c:layout>
      <c:overlay val="0"/>
    </c:legend>
    <c:plotVisOnly val="1"/>
    <c:dispBlanksAs val="gap"/>
    <c:showDLblsOverMax val="0"/>
  </c:chart>
  <c:spPr>
    <a:solidFill>
      <a:sysClr val="window" lastClr="FFFFFF">
        <a:lumMod val="95000"/>
        <a:alpha val="25000"/>
      </a:sysClr>
    </a:solidFill>
  </c:spPr>
  <c:printSettings>
    <c:headerFooter/>
    <c:pageMargins b="0.75000000000000178" l="0.70000000000000062" r="0.70000000000000062" t="0.75000000000000178"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Formulas!$B$26</c:f>
          <c:strCache>
            <c:ptCount val="1"/>
            <c:pt idx="0">
              <c:v>11A. Change in Permanent Housing Exits
Single Adults</c:v>
            </c:pt>
          </c:strCache>
        </c:strRef>
      </c:tx>
      <c:layout>
        <c:manualLayout>
          <c:xMode val="edge"/>
          <c:yMode val="edge"/>
          <c:x val="7.0741538494511124E-3"/>
          <c:y val="8.5218675657308118E-3"/>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6259444644840555"/>
          <c:h val="0.6344709521644708"/>
        </c:manualLayout>
      </c:layout>
      <c:barChart>
        <c:barDir val="col"/>
        <c:grouping val="clustered"/>
        <c:varyColors val="0"/>
        <c:ser>
          <c:idx val="2"/>
          <c:order val="2"/>
          <c:tx>
            <c:strRef>
              <c:f>Formulas!$G$25</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Formulas!$C$26:$C$29</c:f>
              <c:strCache>
                <c:ptCount val="4"/>
                <c:pt idx="0">
                  <c:v>ES</c:v>
                </c:pt>
                <c:pt idx="1">
                  <c:v>TH</c:v>
                </c:pt>
                <c:pt idx="2">
                  <c:v>RR</c:v>
                </c:pt>
                <c:pt idx="3">
                  <c:v>All Programs</c:v>
                </c:pt>
              </c:strCache>
            </c:strRef>
          </c:cat>
          <c:val>
            <c:numRef>
              <c:f>Formulas!$G$26:$G$29</c:f>
              <c:numCache>
                <c:formatCode>#,##0</c:formatCode>
                <c:ptCount val="4"/>
                <c:pt idx="0">
                  <c:v>265</c:v>
                </c:pt>
                <c:pt idx="1">
                  <c:v>98</c:v>
                </c:pt>
                <c:pt idx="2">
                  <c:v>112</c:v>
                </c:pt>
                <c:pt idx="3">
                  <c:v>475</c:v>
                </c:pt>
              </c:numCache>
            </c:numRef>
          </c:val>
        </c:ser>
        <c:ser>
          <c:idx val="3"/>
          <c:order val="3"/>
          <c:tx>
            <c:strRef>
              <c:f>Formulas!$H$25</c:f>
              <c:strCache>
                <c:ptCount val="1"/>
                <c:pt idx="0">
                  <c:v>New PH Exits</c:v>
                </c:pt>
              </c:strCache>
            </c:strRef>
          </c:tx>
          <c:invertIfNegative val="0"/>
          <c:dLbls>
            <c:numFmt formatCode="#;;;" sourceLinked="0"/>
            <c:spPr>
              <a:noFill/>
              <a:ln>
                <a:noFill/>
              </a:ln>
              <a:effectLst/>
            </c:spPr>
            <c:txPr>
              <a:bodyPr anchor="b" anchorCtr="1"/>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Formulas!$C$26:$C$29</c:f>
              <c:strCache>
                <c:ptCount val="4"/>
                <c:pt idx="0">
                  <c:v>ES</c:v>
                </c:pt>
                <c:pt idx="1">
                  <c:v>TH</c:v>
                </c:pt>
                <c:pt idx="2">
                  <c:v>RR</c:v>
                </c:pt>
                <c:pt idx="3">
                  <c:v>All Programs</c:v>
                </c:pt>
              </c:strCache>
            </c:strRef>
          </c:cat>
          <c:val>
            <c:numRef>
              <c:f>Formulas!$H$26:$H$29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606239248"/>
        <c:axId val="606243952"/>
      </c:barChart>
      <c:barChart>
        <c:barDir val="col"/>
        <c:grouping val="clustered"/>
        <c:varyColors val="0"/>
        <c:ser>
          <c:idx val="0"/>
          <c:order val="0"/>
          <c:tx>
            <c:strRef>
              <c:f>Formulas!$D$25</c:f>
              <c:strCache>
                <c:ptCount val="1"/>
                <c:pt idx="0">
                  <c:v>Current PH Exits</c:v>
                </c:pt>
              </c:strCache>
            </c:strRef>
          </c:tx>
          <c:invertIfNegative val="0"/>
          <c:dLbls>
            <c:delete val="1"/>
          </c:dLbls>
          <c:cat>
            <c:strRef>
              <c:f>Formulas!$C$26:$C$29</c:f>
              <c:strCache>
                <c:ptCount val="4"/>
                <c:pt idx="0">
                  <c:v>ES</c:v>
                </c:pt>
                <c:pt idx="1">
                  <c:v>TH</c:v>
                </c:pt>
                <c:pt idx="2">
                  <c:v>RR</c:v>
                </c:pt>
                <c:pt idx="3">
                  <c:v>All Programs</c:v>
                </c:pt>
              </c:strCache>
            </c:strRef>
          </c:cat>
          <c:val>
            <c:numRef>
              <c:f>Formulas!$D$26:$D$29</c:f>
              <c:numCache>
                <c:formatCode>#,##0</c:formatCode>
                <c:ptCount val="4"/>
                <c:pt idx="0">
                  <c:v>265</c:v>
                </c:pt>
                <c:pt idx="1">
                  <c:v>98</c:v>
                </c:pt>
                <c:pt idx="2">
                  <c:v>112</c:v>
                </c:pt>
                <c:pt idx="3">
                  <c:v>475</c:v>
                </c:pt>
              </c:numCache>
            </c:numRef>
          </c:val>
        </c:ser>
        <c:ser>
          <c:idx val="1"/>
          <c:order val="1"/>
          <c:tx>
            <c:strRef>
              <c:f>Formulas!$E$25</c:f>
              <c:strCache>
                <c:ptCount val="1"/>
                <c:pt idx="0">
                  <c:v>New PH Exits</c:v>
                </c:pt>
              </c:strCache>
            </c:strRef>
          </c:tx>
          <c:invertIfNegative val="0"/>
          <c:dLbls>
            <c:dLbl>
              <c:idx val="0"/>
              <c:tx>
                <c:strRef>
                  <c:f>Formulas!$F$26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{7A325859-93EE-4B2D-98DE-9B04A2439923}</c15:txfldGUID>
                      <c15:f>Formulas!$F$26</c15:f>
                      <c15:dlblFieldTableCache>
                        <c:ptCount val="1"/>
                      </c15:dlblFieldTableCache>
                    </c15:dlblFTEntry>
                  </c15:dlblFieldTable>
                  <c15:showDataLabelsRange val="0"/>
                </c:ext>
              </c:extLst>
            </c:dLbl>
            <c:dLbl>
              <c:idx val="1"/>
              <c:tx>
                <c:strRef>
                  <c:f>Formulas!$F$27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{C26BBE38-52AE-4B13-A1BE-4CFC70FA9540}</c15:txfldGUID>
                      <c15:f>Formulas!$F$27</c15:f>
                      <c15:dlblFieldTableCache>
                        <c:ptCount val="1"/>
                      </c15:dlblFieldTableCache>
                    </c15:dlblFTEntry>
                  </c15:dlblFieldTable>
                  <c15:showDataLabelsRange val="0"/>
                </c:ext>
              </c:extLst>
            </c:dLbl>
            <c:dLbl>
              <c:idx val="2"/>
              <c:tx>
                <c:strRef>
                  <c:f>Formulas!$F$28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{FD8CF623-34BE-4DAD-A55C-579087FD5DFF}</c15:txfldGUID>
                      <c15:f>Formulas!$F$28</c15:f>
                      <c15:dlblFieldTableCache>
                        <c:ptCount val="1"/>
                      </c15:dlblFieldTableCache>
                    </c15:dlblFTEntry>
                  </c15:dlblFieldTable>
                  <c15:showDataLabelsRange val="0"/>
                </c:ext>
              </c:extLst>
            </c:dLbl>
            <c:dLbl>
              <c:idx val="3"/>
              <c:tx>
                <c:strRef>
                  <c:f>Formulas!$F$29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{95BB7F6D-7247-4C95-A14E-892340CD5383}</c15:txfldGUID>
                      <c15:f>Formulas!$F$29</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Formulas!$C$26:$C$29</c:f>
              <c:strCache>
                <c:ptCount val="4"/>
                <c:pt idx="0">
                  <c:v>ES</c:v>
                </c:pt>
                <c:pt idx="1">
                  <c:v>TH</c:v>
                </c:pt>
                <c:pt idx="2">
                  <c:v>RR</c:v>
                </c:pt>
                <c:pt idx="3">
                  <c:v>All Programs</c:v>
                </c:pt>
              </c:strCache>
            </c:strRef>
          </c:cat>
          <c:val>
            <c:numRef>
              <c:f>Formulas!$E$26:$E$29</c:f>
              <c:numCache>
                <c:formatCode>#,##0</c:formatCode>
                <c:ptCount val="4"/>
                <c:pt idx="0">
                  <c:v>265</c:v>
                </c:pt>
                <c:pt idx="1">
                  <c:v>98</c:v>
                </c:pt>
                <c:pt idx="2">
                  <c:v>112</c:v>
                </c:pt>
                <c:pt idx="3">
                  <c:v>475</c:v>
                </c:pt>
              </c:numCache>
            </c:numRef>
          </c:val>
        </c:ser>
        <c:dLbls>
          <c:showLegendKey val="0"/>
          <c:showVal val="1"/>
          <c:showCatName val="0"/>
          <c:showSerName val="0"/>
          <c:showPercent val="0"/>
          <c:showBubbleSize val="0"/>
        </c:dLbls>
        <c:gapWidth val="75"/>
        <c:axId val="606238072"/>
        <c:axId val="606237680"/>
      </c:barChart>
      <c:catAx>
        <c:axId val="606239248"/>
        <c:scaling>
          <c:orientation val="minMax"/>
        </c:scaling>
        <c:delete val="0"/>
        <c:axPos val="b"/>
        <c:numFmt formatCode="General" sourceLinked="0"/>
        <c:majorTickMark val="none"/>
        <c:minorTickMark val="none"/>
        <c:tickLblPos val="nextTo"/>
        <c:crossAx val="606243952"/>
        <c:crosses val="autoZero"/>
        <c:auto val="1"/>
        <c:lblAlgn val="ctr"/>
        <c:lblOffset val="100"/>
        <c:noMultiLvlLbl val="0"/>
      </c:catAx>
      <c:valAx>
        <c:axId val="606243952"/>
        <c:scaling>
          <c:orientation val="minMax"/>
        </c:scaling>
        <c:delete val="0"/>
        <c:axPos val="l"/>
        <c:majorGridlines/>
        <c:numFmt formatCode="#,##0" sourceLinked="1"/>
        <c:majorTickMark val="none"/>
        <c:minorTickMark val="none"/>
        <c:tickLblPos val="nextTo"/>
        <c:crossAx val="606239248"/>
        <c:crosses val="autoZero"/>
        <c:crossBetween val="between"/>
      </c:valAx>
      <c:valAx>
        <c:axId val="606237680"/>
        <c:scaling>
          <c:orientation val="minMax"/>
        </c:scaling>
        <c:delete val="1"/>
        <c:axPos val="r"/>
        <c:numFmt formatCode="#,##0" sourceLinked="1"/>
        <c:majorTickMark val="out"/>
        <c:minorTickMark val="none"/>
        <c:tickLblPos val="none"/>
        <c:crossAx val="606238072"/>
        <c:crosses val="max"/>
        <c:crossBetween val="between"/>
      </c:valAx>
      <c:catAx>
        <c:axId val="606238072"/>
        <c:scaling>
          <c:orientation val="minMax"/>
        </c:scaling>
        <c:delete val="1"/>
        <c:axPos val="b"/>
        <c:numFmt formatCode="General" sourceLinked="1"/>
        <c:majorTickMark val="out"/>
        <c:minorTickMark val="none"/>
        <c:tickLblPos val="none"/>
        <c:crossAx val="60623768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531253029579188"/>
          <c:y val="0.9039245355866351"/>
          <c:w val="0.46937472106037248"/>
          <c:h val="8.2404375035657867E-2"/>
        </c:manualLayout>
      </c:layout>
      <c:overlay val="0"/>
    </c:legend>
    <c:plotVisOnly val="1"/>
    <c:dispBlanksAs val="gap"/>
    <c:showDLblsOverMax val="0"/>
  </c:chart>
  <c:spPr>
    <a:solidFill>
      <a:srgbClr val="C0504D">
        <a:lumMod val="20000"/>
        <a:lumOff val="80000"/>
        <a:alpha val="50000"/>
      </a:srgbClr>
    </a:solidFill>
  </c:spPr>
  <c:printSettings>
    <c:headerFooter>
      <c:oddHeader>&amp;L&amp;G&amp;R&amp;"Verdana,Bold"&amp;14CHANGE INVESTMENTS</c:oddHeader>
    </c:headerFooter>
    <c:pageMargins b="0.75000000000000544" l="0.70000000000000062" r="0.70000000000000062" t="0.750000000000005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Formulas!$B$37</c:f>
          <c:strCache>
            <c:ptCount val="1"/>
            <c:pt idx="0">
              <c:v>11B. Change in Permanent Housing Exits
Family Households</c:v>
            </c:pt>
          </c:strCache>
        </c:strRef>
      </c:tx>
      <c:layout>
        <c:manualLayout>
          <c:xMode val="edge"/>
          <c:yMode val="edge"/>
          <c:x val="1.7510978532813211E-3"/>
          <c:y val="1.2781128204825716E-2"/>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3888272176956247"/>
          <c:h val="0.62535689257933225"/>
        </c:manualLayout>
      </c:layout>
      <c:barChart>
        <c:barDir val="col"/>
        <c:grouping val="clustered"/>
        <c:varyColors val="0"/>
        <c:ser>
          <c:idx val="2"/>
          <c:order val="2"/>
          <c:tx>
            <c:strRef>
              <c:f>Formulas!$G$36</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Formulas!$C$37:$C$40</c:f>
              <c:strCache>
                <c:ptCount val="4"/>
                <c:pt idx="0">
                  <c:v>ES</c:v>
                </c:pt>
                <c:pt idx="1">
                  <c:v>TH</c:v>
                </c:pt>
                <c:pt idx="2">
                  <c:v>RR</c:v>
                </c:pt>
                <c:pt idx="3">
                  <c:v>All Programs</c:v>
                </c:pt>
              </c:strCache>
            </c:strRef>
          </c:cat>
          <c:val>
            <c:numRef>
              <c:f>Formulas!$G$37:$G$40</c:f>
              <c:numCache>
                <c:formatCode>#,##0</c:formatCode>
                <c:ptCount val="4"/>
                <c:pt idx="0">
                  <c:v>137</c:v>
                </c:pt>
                <c:pt idx="1">
                  <c:v>158</c:v>
                </c:pt>
                <c:pt idx="2">
                  <c:v>235</c:v>
                </c:pt>
                <c:pt idx="3">
                  <c:v>530</c:v>
                </c:pt>
              </c:numCache>
            </c:numRef>
          </c:val>
        </c:ser>
        <c:ser>
          <c:idx val="3"/>
          <c:order val="3"/>
          <c:tx>
            <c:strRef>
              <c:f>Formulas!$H$36</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Formulas!$C$37:$C$40</c:f>
              <c:strCache>
                <c:ptCount val="4"/>
                <c:pt idx="0">
                  <c:v>ES</c:v>
                </c:pt>
                <c:pt idx="1">
                  <c:v>TH</c:v>
                </c:pt>
                <c:pt idx="2">
                  <c:v>RR</c:v>
                </c:pt>
                <c:pt idx="3">
                  <c:v>All Programs</c:v>
                </c:pt>
              </c:strCache>
            </c:strRef>
          </c:cat>
          <c:val>
            <c:numRef>
              <c:f>Formulas!$H$37:$H$40</c:f>
              <c:numCache>
                <c:formatCode>#,##0</c:formatCode>
                <c:ptCount val="4"/>
                <c:pt idx="0">
                  <c:v>137</c:v>
                </c:pt>
                <c:pt idx="1">
                  <c:v>158</c:v>
                </c:pt>
                <c:pt idx="2">
                  <c:v>235</c:v>
                </c:pt>
                <c:pt idx="3">
                  <c:v>530</c:v>
                </c:pt>
              </c:numCache>
            </c:numRef>
          </c:val>
        </c:ser>
        <c:dLbls>
          <c:showLegendKey val="0"/>
          <c:showVal val="1"/>
          <c:showCatName val="0"/>
          <c:showSerName val="0"/>
          <c:showPercent val="0"/>
          <c:showBubbleSize val="0"/>
        </c:dLbls>
        <c:gapWidth val="75"/>
        <c:axId val="606242384"/>
        <c:axId val="606243168"/>
      </c:barChart>
      <c:barChart>
        <c:barDir val="col"/>
        <c:grouping val="clustered"/>
        <c:varyColors val="0"/>
        <c:ser>
          <c:idx val="0"/>
          <c:order val="0"/>
          <c:tx>
            <c:strRef>
              <c:f>Formulas!$D$36</c:f>
              <c:strCache>
                <c:ptCount val="1"/>
                <c:pt idx="0">
                  <c:v>Current PH Exits</c:v>
                </c:pt>
              </c:strCache>
            </c:strRef>
          </c:tx>
          <c:invertIfNegative val="0"/>
          <c:dLbls>
            <c:delete val="1"/>
          </c:dLbls>
          <c:cat>
            <c:strRef>
              <c:f>Formulas!$C$37:$C$40</c:f>
              <c:strCache>
                <c:ptCount val="4"/>
                <c:pt idx="0">
                  <c:v>ES</c:v>
                </c:pt>
                <c:pt idx="1">
                  <c:v>TH</c:v>
                </c:pt>
                <c:pt idx="2">
                  <c:v>RR</c:v>
                </c:pt>
                <c:pt idx="3">
                  <c:v>All Programs</c:v>
                </c:pt>
              </c:strCache>
            </c:strRef>
          </c:cat>
          <c:val>
            <c:numRef>
              <c:f>Formulas!$D$37:$D$40</c:f>
              <c:numCache>
                <c:formatCode>#,##0</c:formatCode>
                <c:ptCount val="4"/>
                <c:pt idx="0">
                  <c:v>137</c:v>
                </c:pt>
                <c:pt idx="1">
                  <c:v>158</c:v>
                </c:pt>
                <c:pt idx="2">
                  <c:v>235</c:v>
                </c:pt>
                <c:pt idx="3">
                  <c:v>530</c:v>
                </c:pt>
              </c:numCache>
            </c:numRef>
          </c:val>
        </c:ser>
        <c:ser>
          <c:idx val="1"/>
          <c:order val="1"/>
          <c:tx>
            <c:strRef>
              <c:f>Formulas!$E$36</c:f>
              <c:strCache>
                <c:ptCount val="1"/>
                <c:pt idx="0">
                  <c:v>New PH Exits</c:v>
                </c:pt>
              </c:strCache>
            </c:strRef>
          </c:tx>
          <c:invertIfNegative val="0"/>
          <c:dLbls>
            <c:dLbl>
              <c:idx val="0"/>
              <c:tx>
                <c:strRef>
                  <c:f>Formulas!$F$37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{D11487D2-FF22-4D18-8B62-837B191311CC}</c15:txfldGUID>
                      <c15:f>Formulas!$F$37</c15:f>
                      <c15:dlblFieldTableCache>
                        <c:ptCount val="1"/>
                      </c15:dlblFieldTableCache>
                    </c15:dlblFTEntry>
                  </c15:dlblFieldTable>
                  <c15:showDataLabelsRange val="0"/>
                </c:ext>
              </c:extLst>
            </c:dLbl>
            <c:dLbl>
              <c:idx val="1"/>
              <c:tx>
                <c:strRef>
                  <c:f>Formulas!$F$38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{D871F3A6-B097-4942-9484-1E241E7CDCCF}</c15:txfldGUID>
                      <c15:f>Formulas!$F$38</c15:f>
                      <c15:dlblFieldTableCache>
                        <c:ptCount val="1"/>
                      </c15:dlblFieldTableCache>
                    </c15:dlblFTEntry>
                  </c15:dlblFieldTable>
                  <c15:showDataLabelsRange val="0"/>
                </c:ext>
              </c:extLst>
            </c:dLbl>
            <c:dLbl>
              <c:idx val="2"/>
              <c:tx>
                <c:strRef>
                  <c:f>Formulas!$F$39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{F903B4B4-538F-44E3-A24B-CAF2C1795088}</c15:txfldGUID>
                      <c15:f>Formulas!$F$39</c15:f>
                      <c15:dlblFieldTableCache>
                        <c:ptCount val="1"/>
                      </c15:dlblFieldTableCache>
                    </c15:dlblFTEntry>
                  </c15:dlblFieldTable>
                  <c15:showDataLabelsRange val="0"/>
                </c:ext>
              </c:extLst>
            </c:dLbl>
            <c:dLbl>
              <c:idx val="3"/>
              <c:tx>
                <c:strRef>
                  <c:f>Formulas!$F$40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{A089196A-282F-4945-A3D5-95C987AD56AF}</c15:txfldGUID>
                      <c15:f>Formulas!$F$40</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Formulas!$C$37:$C$40</c:f>
              <c:strCache>
                <c:ptCount val="4"/>
                <c:pt idx="0">
                  <c:v>ES</c:v>
                </c:pt>
                <c:pt idx="1">
                  <c:v>TH</c:v>
                </c:pt>
                <c:pt idx="2">
                  <c:v>RR</c:v>
                </c:pt>
                <c:pt idx="3">
                  <c:v>All Programs</c:v>
                </c:pt>
              </c:strCache>
            </c:strRef>
          </c:cat>
          <c:val>
            <c:numRef>
              <c:f>Formulas!$E$37:$E$40</c:f>
              <c:numCache>
                <c:formatCode>#,##0</c:formatCode>
                <c:ptCount val="4"/>
                <c:pt idx="0">
                  <c:v>137</c:v>
                </c:pt>
                <c:pt idx="1">
                  <c:v>158</c:v>
                </c:pt>
                <c:pt idx="2">
                  <c:v>235</c:v>
                </c:pt>
                <c:pt idx="3">
                  <c:v>530</c:v>
                </c:pt>
              </c:numCache>
            </c:numRef>
          </c:val>
        </c:ser>
        <c:dLbls>
          <c:showLegendKey val="0"/>
          <c:showVal val="1"/>
          <c:showCatName val="0"/>
          <c:showSerName val="0"/>
          <c:showPercent val="0"/>
          <c:showBubbleSize val="0"/>
        </c:dLbls>
        <c:gapWidth val="75"/>
        <c:axId val="606238464"/>
        <c:axId val="606240816"/>
      </c:barChart>
      <c:catAx>
        <c:axId val="606242384"/>
        <c:scaling>
          <c:orientation val="minMax"/>
        </c:scaling>
        <c:delete val="0"/>
        <c:axPos val="b"/>
        <c:numFmt formatCode="General" sourceLinked="0"/>
        <c:majorTickMark val="none"/>
        <c:minorTickMark val="none"/>
        <c:tickLblPos val="nextTo"/>
        <c:crossAx val="606243168"/>
        <c:crosses val="autoZero"/>
        <c:auto val="1"/>
        <c:lblAlgn val="ctr"/>
        <c:lblOffset val="100"/>
        <c:noMultiLvlLbl val="0"/>
      </c:catAx>
      <c:valAx>
        <c:axId val="606243168"/>
        <c:scaling>
          <c:orientation val="minMax"/>
        </c:scaling>
        <c:delete val="0"/>
        <c:axPos val="l"/>
        <c:majorGridlines/>
        <c:numFmt formatCode="#,##0" sourceLinked="1"/>
        <c:majorTickMark val="none"/>
        <c:minorTickMark val="none"/>
        <c:tickLblPos val="nextTo"/>
        <c:crossAx val="606242384"/>
        <c:crosses val="autoZero"/>
        <c:crossBetween val="between"/>
      </c:valAx>
      <c:valAx>
        <c:axId val="606240816"/>
        <c:scaling>
          <c:orientation val="minMax"/>
        </c:scaling>
        <c:delete val="1"/>
        <c:axPos val="r"/>
        <c:numFmt formatCode="#,##0" sourceLinked="1"/>
        <c:majorTickMark val="out"/>
        <c:minorTickMark val="none"/>
        <c:tickLblPos val="none"/>
        <c:crossAx val="606238464"/>
        <c:crosses val="max"/>
        <c:crossBetween val="between"/>
      </c:valAx>
      <c:catAx>
        <c:axId val="606238464"/>
        <c:scaling>
          <c:orientation val="minMax"/>
        </c:scaling>
        <c:delete val="1"/>
        <c:axPos val="b"/>
        <c:numFmt formatCode="General" sourceLinked="1"/>
        <c:majorTickMark val="out"/>
        <c:minorTickMark val="none"/>
        <c:tickLblPos val="none"/>
        <c:crossAx val="60624081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531253029579188"/>
          <c:y val="0.9175956249643421"/>
          <c:w val="0.46937472106037248"/>
          <c:h val="8.2404375035657867E-2"/>
        </c:manualLayout>
      </c:layout>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Formulas!$B$48</c:f>
          <c:strCache>
            <c:ptCount val="1"/>
            <c:pt idx="0">
              <c:v>11C. Change in Permanent Housing Exits
All Households</c:v>
            </c:pt>
          </c:strCache>
        </c:strRef>
      </c:tx>
      <c:layout>
        <c:manualLayout>
          <c:xMode val="edge"/>
          <c:yMode val="edge"/>
          <c:x val="2.4148398271427842E-3"/>
          <c:y val="3.9214196483336452E-3"/>
        </c:manualLayout>
      </c:layout>
      <c:overlay val="0"/>
      <c:txPr>
        <a:bodyPr/>
        <a:lstStyle/>
        <a:p>
          <a:pPr algn="l">
            <a:defRPr sz="1200"/>
          </a:pPr>
          <a:endParaRPr lang="en-US"/>
        </a:p>
      </c:txPr>
    </c:title>
    <c:autoTitleDeleted val="0"/>
    <c:plotArea>
      <c:layout>
        <c:manualLayout>
          <c:layoutTarget val="inner"/>
          <c:xMode val="edge"/>
          <c:yMode val="edge"/>
          <c:x val="0.10690233117110542"/>
          <c:y val="0.1917486902127559"/>
          <c:w val="0.84720178241879784"/>
          <c:h val="0.62991392237190003"/>
        </c:manualLayout>
      </c:layout>
      <c:barChart>
        <c:barDir val="col"/>
        <c:grouping val="clustered"/>
        <c:varyColors val="0"/>
        <c:ser>
          <c:idx val="2"/>
          <c:order val="2"/>
          <c:tx>
            <c:strRef>
              <c:f>Formulas!$G$47</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Formulas!$C$48:$C$51</c:f>
              <c:strCache>
                <c:ptCount val="4"/>
                <c:pt idx="0">
                  <c:v>ES</c:v>
                </c:pt>
                <c:pt idx="1">
                  <c:v>TH</c:v>
                </c:pt>
                <c:pt idx="2">
                  <c:v>RR</c:v>
                </c:pt>
                <c:pt idx="3">
                  <c:v>All Programs</c:v>
                </c:pt>
              </c:strCache>
            </c:strRef>
          </c:cat>
          <c:val>
            <c:numRef>
              <c:f>Formulas!$G$48:$G$51</c:f>
              <c:numCache>
                <c:formatCode>#,##0</c:formatCode>
                <c:ptCount val="4"/>
                <c:pt idx="0">
                  <c:v>402</c:v>
                </c:pt>
                <c:pt idx="1">
                  <c:v>256</c:v>
                </c:pt>
                <c:pt idx="2">
                  <c:v>347</c:v>
                </c:pt>
                <c:pt idx="3">
                  <c:v>1005</c:v>
                </c:pt>
              </c:numCache>
            </c:numRef>
          </c:val>
        </c:ser>
        <c:ser>
          <c:idx val="3"/>
          <c:order val="3"/>
          <c:tx>
            <c:strRef>
              <c:f>Formulas!$H$47</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Formulas!$C$48:$C$51</c:f>
              <c:strCache>
                <c:ptCount val="4"/>
                <c:pt idx="0">
                  <c:v>ES</c:v>
                </c:pt>
                <c:pt idx="1">
                  <c:v>TH</c:v>
                </c:pt>
                <c:pt idx="2">
                  <c:v>RR</c:v>
                </c:pt>
                <c:pt idx="3">
                  <c:v>All Programs</c:v>
                </c:pt>
              </c:strCache>
            </c:strRef>
          </c:cat>
          <c:val>
            <c:numRef>
              <c:f>Formulas!$H$48:$H$51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606239640"/>
        <c:axId val="606240032"/>
      </c:barChart>
      <c:barChart>
        <c:barDir val="col"/>
        <c:grouping val="clustered"/>
        <c:varyColors val="0"/>
        <c:ser>
          <c:idx val="0"/>
          <c:order val="0"/>
          <c:tx>
            <c:strRef>
              <c:f>Formulas!$D$47</c:f>
              <c:strCache>
                <c:ptCount val="1"/>
                <c:pt idx="0">
                  <c:v>Current PH Exits</c:v>
                </c:pt>
              </c:strCache>
            </c:strRef>
          </c:tx>
          <c:invertIfNegative val="0"/>
          <c:cat>
            <c:strRef>
              <c:f>Formulas!$C$48:$C$51</c:f>
              <c:strCache>
                <c:ptCount val="4"/>
                <c:pt idx="0">
                  <c:v>ES</c:v>
                </c:pt>
                <c:pt idx="1">
                  <c:v>TH</c:v>
                </c:pt>
                <c:pt idx="2">
                  <c:v>RR</c:v>
                </c:pt>
                <c:pt idx="3">
                  <c:v>All Programs</c:v>
                </c:pt>
              </c:strCache>
            </c:strRef>
          </c:cat>
          <c:val>
            <c:numRef>
              <c:f>Formulas!$D$48:$D$51</c:f>
              <c:numCache>
                <c:formatCode>#,##0</c:formatCode>
                <c:ptCount val="4"/>
                <c:pt idx="0">
                  <c:v>402</c:v>
                </c:pt>
                <c:pt idx="1">
                  <c:v>256</c:v>
                </c:pt>
                <c:pt idx="2">
                  <c:v>347</c:v>
                </c:pt>
                <c:pt idx="3">
                  <c:v>1005</c:v>
                </c:pt>
              </c:numCache>
            </c:numRef>
          </c:val>
        </c:ser>
        <c:ser>
          <c:idx val="1"/>
          <c:order val="1"/>
          <c:tx>
            <c:strRef>
              <c:f>Formulas!$E$47</c:f>
              <c:strCache>
                <c:ptCount val="1"/>
                <c:pt idx="0">
                  <c:v>New PH Exits</c:v>
                </c:pt>
              </c:strCache>
            </c:strRef>
          </c:tx>
          <c:invertIfNegative val="0"/>
          <c:dLbls>
            <c:dLbl>
              <c:idx val="0"/>
              <c:tx>
                <c:strRef>
                  <c:f>Formulas!$F$48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{C9DB5ACA-41D7-4683-AD67-CEE78AC2371F}</c15:txfldGUID>
                      <c15:f>Formulas!$F$48</c15:f>
                      <c15:dlblFieldTableCache>
                        <c:ptCount val="1"/>
                      </c15:dlblFieldTableCache>
                    </c15:dlblFTEntry>
                  </c15:dlblFieldTable>
                  <c15:showDataLabelsRange val="0"/>
                </c:ext>
              </c:extLst>
            </c:dLbl>
            <c:dLbl>
              <c:idx val="1"/>
              <c:tx>
                <c:strRef>
                  <c:f>Formulas!$F$49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{1ABBD6B0-2134-4759-892D-FC5C81B2B36C}</c15:txfldGUID>
                      <c15:f>Formulas!$F$49</c15:f>
                      <c15:dlblFieldTableCache>
                        <c:ptCount val="1"/>
                      </c15:dlblFieldTableCache>
                    </c15:dlblFTEntry>
                  </c15:dlblFieldTable>
                  <c15:showDataLabelsRange val="0"/>
                </c:ext>
              </c:extLst>
            </c:dLbl>
            <c:dLbl>
              <c:idx val="2"/>
              <c:tx>
                <c:strRef>
                  <c:f>Formulas!$F$50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{09043AD0-2C51-4B7B-BDE3-8544F1ADC405}</c15:txfldGUID>
                      <c15:f>Formulas!$F$50</c15:f>
                      <c15:dlblFieldTableCache>
                        <c:ptCount val="1"/>
                      </c15:dlblFieldTableCache>
                    </c15:dlblFTEntry>
                  </c15:dlblFieldTable>
                  <c15:showDataLabelsRange val="0"/>
                </c:ext>
              </c:extLst>
            </c:dLbl>
            <c:dLbl>
              <c:idx val="3"/>
              <c:tx>
                <c:strRef>
                  <c:f>Formulas!$F$51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{2286414C-5EC5-4B34-8686-84E83A0C47CD}</c15:txfldGUID>
                      <c15:f>Formulas!$F$51</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Formulas!$C$48:$C$51</c:f>
              <c:strCache>
                <c:ptCount val="4"/>
                <c:pt idx="0">
                  <c:v>ES</c:v>
                </c:pt>
                <c:pt idx="1">
                  <c:v>TH</c:v>
                </c:pt>
                <c:pt idx="2">
                  <c:v>RR</c:v>
                </c:pt>
                <c:pt idx="3">
                  <c:v>All Programs</c:v>
                </c:pt>
              </c:strCache>
            </c:strRef>
          </c:cat>
          <c:val>
            <c:numRef>
              <c:f>Formulas!$E$48:$E$51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606240424"/>
        <c:axId val="606242776"/>
      </c:barChart>
      <c:catAx>
        <c:axId val="606239640"/>
        <c:scaling>
          <c:orientation val="minMax"/>
        </c:scaling>
        <c:delete val="0"/>
        <c:axPos val="b"/>
        <c:numFmt formatCode="General" sourceLinked="0"/>
        <c:majorTickMark val="none"/>
        <c:minorTickMark val="none"/>
        <c:tickLblPos val="nextTo"/>
        <c:crossAx val="606240032"/>
        <c:crosses val="autoZero"/>
        <c:auto val="1"/>
        <c:lblAlgn val="ctr"/>
        <c:lblOffset val="100"/>
        <c:noMultiLvlLbl val="0"/>
      </c:catAx>
      <c:valAx>
        <c:axId val="606240032"/>
        <c:scaling>
          <c:orientation val="minMax"/>
        </c:scaling>
        <c:delete val="0"/>
        <c:axPos val="l"/>
        <c:majorGridlines/>
        <c:numFmt formatCode="#,##0" sourceLinked="1"/>
        <c:majorTickMark val="none"/>
        <c:minorTickMark val="none"/>
        <c:tickLblPos val="nextTo"/>
        <c:crossAx val="606239640"/>
        <c:crosses val="autoZero"/>
        <c:crossBetween val="between"/>
      </c:valAx>
      <c:valAx>
        <c:axId val="606242776"/>
        <c:scaling>
          <c:orientation val="minMax"/>
        </c:scaling>
        <c:delete val="1"/>
        <c:axPos val="r"/>
        <c:numFmt formatCode="#,##0" sourceLinked="1"/>
        <c:majorTickMark val="out"/>
        <c:minorTickMark val="none"/>
        <c:tickLblPos val="none"/>
        <c:crossAx val="606240424"/>
        <c:crosses val="max"/>
        <c:crossBetween val="between"/>
      </c:valAx>
      <c:catAx>
        <c:axId val="606240424"/>
        <c:scaling>
          <c:orientation val="minMax"/>
        </c:scaling>
        <c:delete val="1"/>
        <c:axPos val="b"/>
        <c:numFmt formatCode="General" sourceLinked="1"/>
        <c:majorTickMark val="out"/>
        <c:minorTickMark val="none"/>
        <c:tickLblPos val="none"/>
        <c:crossAx val="606242776"/>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531253029579188"/>
          <c:y val="0.90848156537919988"/>
          <c:w val="0.46937472106037248"/>
          <c:h val="8.240437503565786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66" l="0.70000000000000062" r="0.70000000000000062" t="0.750000000000005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Formulas!$B$32</c:f>
          <c:strCache>
            <c:ptCount val="1"/>
            <c:pt idx="0">
              <c:v>12A. Change in Permanent Supportive Housing Capacity
Single Adults</c:v>
            </c:pt>
          </c:strCache>
        </c:strRef>
      </c:tx>
      <c:overlay val="0"/>
      <c:txPr>
        <a:bodyPr/>
        <a:lstStyle/>
        <a:p>
          <a:pPr algn="ctr">
            <a:defRPr sz="1200"/>
          </a:pPr>
          <a:endParaRPr lang="en-US"/>
        </a:p>
      </c:txPr>
    </c:title>
    <c:autoTitleDeleted val="0"/>
    <c:plotArea>
      <c:layout/>
      <c:barChart>
        <c:barDir val="col"/>
        <c:grouping val="stacked"/>
        <c:varyColors val="0"/>
        <c:ser>
          <c:idx val="0"/>
          <c:order val="0"/>
          <c:tx>
            <c:strRef>
              <c:f>Formulas!$C$32</c:f>
              <c:strCache>
                <c:ptCount val="1"/>
                <c:pt idx="0">
                  <c:v>Existing PSH Capacity</c:v>
                </c:pt>
              </c:strCache>
            </c:strRef>
          </c:tx>
          <c:invertIfNegative val="0"/>
          <c:dLbls>
            <c:numFmt formatCode="#;;;"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Formulas!$D$31:$E$31</c:f>
              <c:strCache>
                <c:ptCount val="2"/>
                <c:pt idx="0">
                  <c:v>Current</c:v>
                </c:pt>
                <c:pt idx="1">
                  <c:v>Future</c:v>
                </c:pt>
              </c:strCache>
            </c:strRef>
          </c:cat>
          <c:val>
            <c:numRef>
              <c:f>Formulas!$D$32:$E$32</c:f>
              <c:numCache>
                <c:formatCode>#,##0_);\(#,##0\)</c:formatCode>
                <c:ptCount val="2"/>
                <c:pt idx="0">
                  <c:v>185</c:v>
                </c:pt>
                <c:pt idx="1">
                  <c:v>185</c:v>
                </c:pt>
              </c:numCache>
            </c:numRef>
          </c:val>
        </c:ser>
        <c:ser>
          <c:idx val="1"/>
          <c:order val="1"/>
          <c:tx>
            <c:strRef>
              <c:f>Formulas!$C$33</c:f>
              <c:strCache>
                <c:ptCount val="1"/>
                <c:pt idx="0">
                  <c:v>New PSH Capacity</c:v>
                </c:pt>
              </c:strCache>
            </c:strRef>
          </c:tx>
          <c:invertIfNegative val="0"/>
          <c:dLbls>
            <c:numFmt formatCode="0;;;"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Formulas!$D$31:$E$31</c:f>
              <c:strCache>
                <c:ptCount val="2"/>
                <c:pt idx="0">
                  <c:v>Current</c:v>
                </c:pt>
                <c:pt idx="1">
                  <c:v>Future</c:v>
                </c:pt>
              </c:strCache>
            </c:strRef>
          </c:cat>
          <c:val>
            <c:numRef>
              <c:f>Formulas!$D$33:$E$33</c:f>
              <c:numCache>
                <c:formatCode>0</c:formatCode>
                <c:ptCount val="2"/>
                <c:pt idx="1">
                  <c:v>0</c:v>
                </c:pt>
              </c:numCache>
            </c:numRef>
          </c:val>
        </c:ser>
        <c:dLbls>
          <c:showLegendKey val="0"/>
          <c:showVal val="1"/>
          <c:showCatName val="0"/>
          <c:showSerName val="0"/>
          <c:showPercent val="0"/>
          <c:showBubbleSize val="0"/>
        </c:dLbls>
        <c:gapWidth val="75"/>
        <c:overlap val="100"/>
        <c:axId val="555317248"/>
        <c:axId val="555314504"/>
      </c:barChart>
      <c:catAx>
        <c:axId val="555317248"/>
        <c:scaling>
          <c:orientation val="minMax"/>
        </c:scaling>
        <c:delete val="0"/>
        <c:axPos val="b"/>
        <c:numFmt formatCode="General" sourceLinked="0"/>
        <c:majorTickMark val="none"/>
        <c:minorTickMark val="none"/>
        <c:tickLblPos val="nextTo"/>
        <c:crossAx val="555314504"/>
        <c:crosses val="autoZero"/>
        <c:auto val="1"/>
        <c:lblAlgn val="ctr"/>
        <c:lblOffset val="100"/>
        <c:noMultiLvlLbl val="0"/>
      </c:catAx>
      <c:valAx>
        <c:axId val="555314504"/>
        <c:scaling>
          <c:orientation val="minMax"/>
        </c:scaling>
        <c:delete val="0"/>
        <c:axPos val="l"/>
        <c:majorGridlines/>
        <c:numFmt formatCode="#,##0_);\(#,##0\)" sourceLinked="1"/>
        <c:majorTickMark val="none"/>
        <c:minorTickMark val="none"/>
        <c:tickLblPos val="nextTo"/>
        <c:spPr>
          <a:ln w="9525">
            <a:noFill/>
          </a:ln>
        </c:spPr>
        <c:crossAx val="555317248"/>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Formulas!$B$43</c:f>
          <c:strCache>
            <c:ptCount val="1"/>
            <c:pt idx="0">
              <c:v>12B. Change in Permanent Supportive Housing Capacity
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Formulas!$C$43</c:f>
              <c:strCache>
                <c:ptCount val="1"/>
                <c:pt idx="0">
                  <c:v>Existing PSH Capacity</c:v>
                </c:pt>
              </c:strCache>
            </c:strRef>
          </c:tx>
          <c:invertIfNegative val="0"/>
          <c:dLbls>
            <c:numFmt formatCode="#;;;"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Formulas!$D$42:$E$42</c:f>
              <c:strCache>
                <c:ptCount val="2"/>
                <c:pt idx="0">
                  <c:v>Current</c:v>
                </c:pt>
                <c:pt idx="1">
                  <c:v>Future</c:v>
                </c:pt>
              </c:strCache>
            </c:strRef>
          </c:cat>
          <c:val>
            <c:numRef>
              <c:f>Formulas!$D$43:$E$43</c:f>
              <c:numCache>
                <c:formatCode>#,##0_);\(#,##0\)</c:formatCode>
                <c:ptCount val="2"/>
                <c:pt idx="0">
                  <c:v>80</c:v>
                </c:pt>
                <c:pt idx="1">
                  <c:v>80</c:v>
                </c:pt>
              </c:numCache>
            </c:numRef>
          </c:val>
        </c:ser>
        <c:ser>
          <c:idx val="1"/>
          <c:order val="1"/>
          <c:tx>
            <c:strRef>
              <c:f>Formulas!$C$44</c:f>
              <c:strCache>
                <c:ptCount val="1"/>
                <c:pt idx="0">
                  <c:v>New PSH Capacity</c:v>
                </c:pt>
              </c:strCache>
            </c:strRef>
          </c:tx>
          <c:invertIfNegative val="0"/>
          <c:dLbls>
            <c:numFmt formatCode="0;;;"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Formulas!$D$42:$E$42</c:f>
              <c:strCache>
                <c:ptCount val="2"/>
                <c:pt idx="0">
                  <c:v>Current</c:v>
                </c:pt>
                <c:pt idx="1">
                  <c:v>Future</c:v>
                </c:pt>
              </c:strCache>
            </c:strRef>
          </c:cat>
          <c:val>
            <c:numRef>
              <c:f>Formulas!$D$44:$E$44</c:f>
              <c:numCache>
                <c:formatCode>0</c:formatCode>
                <c:ptCount val="2"/>
                <c:pt idx="1">
                  <c:v>0</c:v>
                </c:pt>
              </c:numCache>
            </c:numRef>
          </c:val>
        </c:ser>
        <c:dLbls>
          <c:showLegendKey val="0"/>
          <c:showVal val="1"/>
          <c:showCatName val="0"/>
          <c:showSerName val="0"/>
          <c:showPercent val="0"/>
          <c:showBubbleSize val="0"/>
        </c:dLbls>
        <c:gapWidth val="75"/>
        <c:overlap val="100"/>
        <c:axId val="555314112"/>
        <c:axId val="555321168"/>
      </c:barChart>
      <c:catAx>
        <c:axId val="555314112"/>
        <c:scaling>
          <c:orientation val="minMax"/>
        </c:scaling>
        <c:delete val="0"/>
        <c:axPos val="b"/>
        <c:numFmt formatCode="General" sourceLinked="0"/>
        <c:majorTickMark val="none"/>
        <c:minorTickMark val="none"/>
        <c:tickLblPos val="nextTo"/>
        <c:crossAx val="555321168"/>
        <c:crosses val="autoZero"/>
        <c:auto val="1"/>
        <c:lblAlgn val="ctr"/>
        <c:lblOffset val="100"/>
        <c:noMultiLvlLbl val="0"/>
      </c:catAx>
      <c:valAx>
        <c:axId val="555321168"/>
        <c:scaling>
          <c:orientation val="minMax"/>
        </c:scaling>
        <c:delete val="0"/>
        <c:axPos val="l"/>
        <c:majorGridlines/>
        <c:numFmt formatCode="#,##0_);\(#,##0\)" sourceLinked="1"/>
        <c:majorTickMark val="none"/>
        <c:minorTickMark val="none"/>
        <c:tickLblPos val="nextTo"/>
        <c:spPr>
          <a:ln w="9525">
            <a:noFill/>
          </a:ln>
        </c:spPr>
        <c:crossAx val="555314112"/>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Formulas!$B$54</c:f>
          <c:strCache>
            <c:ptCount val="1"/>
            <c:pt idx="0">
              <c:v>12C. Change in Permanent Supportive Housing Capacity
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Formulas!$C$54</c:f>
              <c:strCache>
                <c:ptCount val="1"/>
                <c:pt idx="0">
                  <c:v>Existing PSH Capacity</c:v>
                </c:pt>
              </c:strCache>
            </c:strRef>
          </c:tx>
          <c:invertIfNegative val="0"/>
          <c:dLbls>
            <c:numFmt formatCode="#;;;"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Formulas!$D$53:$E$53</c:f>
              <c:strCache>
                <c:ptCount val="2"/>
                <c:pt idx="0">
                  <c:v>Current</c:v>
                </c:pt>
                <c:pt idx="1">
                  <c:v>Future</c:v>
                </c:pt>
              </c:strCache>
            </c:strRef>
          </c:cat>
          <c:val>
            <c:numRef>
              <c:f>Formulas!$D$54:$E$54</c:f>
              <c:numCache>
                <c:formatCode>#,##0_);\(#,##0\)</c:formatCode>
                <c:ptCount val="2"/>
                <c:pt idx="0">
                  <c:v>265</c:v>
                </c:pt>
                <c:pt idx="1">
                  <c:v>265</c:v>
                </c:pt>
              </c:numCache>
            </c:numRef>
          </c:val>
        </c:ser>
        <c:ser>
          <c:idx val="1"/>
          <c:order val="1"/>
          <c:tx>
            <c:strRef>
              <c:f>Formulas!$C$55</c:f>
              <c:strCache>
                <c:ptCount val="1"/>
                <c:pt idx="0">
                  <c:v>New PSH Capacity</c:v>
                </c:pt>
              </c:strCache>
            </c:strRef>
          </c:tx>
          <c:invertIfNegative val="0"/>
          <c:dLbls>
            <c:numFmt formatCode="0;;;"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Formulas!$D$53:$E$53</c:f>
              <c:strCache>
                <c:ptCount val="2"/>
                <c:pt idx="0">
                  <c:v>Current</c:v>
                </c:pt>
                <c:pt idx="1">
                  <c:v>Future</c:v>
                </c:pt>
              </c:strCache>
            </c:strRef>
          </c:cat>
          <c:val>
            <c:numRef>
              <c:f>Formulas!$D$55:$E$55</c:f>
              <c:numCache>
                <c:formatCode>0</c:formatCode>
                <c:ptCount val="2"/>
                <c:pt idx="1">
                  <c:v>0</c:v>
                </c:pt>
              </c:numCache>
            </c:numRef>
          </c:val>
        </c:ser>
        <c:dLbls>
          <c:showLegendKey val="0"/>
          <c:showVal val="1"/>
          <c:showCatName val="0"/>
          <c:showSerName val="0"/>
          <c:showPercent val="0"/>
          <c:showBubbleSize val="0"/>
        </c:dLbls>
        <c:gapWidth val="75"/>
        <c:overlap val="100"/>
        <c:axId val="555319600"/>
        <c:axId val="555314896"/>
      </c:barChart>
      <c:catAx>
        <c:axId val="555319600"/>
        <c:scaling>
          <c:orientation val="minMax"/>
        </c:scaling>
        <c:delete val="0"/>
        <c:axPos val="b"/>
        <c:numFmt formatCode="General" sourceLinked="0"/>
        <c:majorTickMark val="none"/>
        <c:minorTickMark val="none"/>
        <c:tickLblPos val="nextTo"/>
        <c:crossAx val="555314896"/>
        <c:crosses val="autoZero"/>
        <c:auto val="1"/>
        <c:lblAlgn val="ctr"/>
        <c:lblOffset val="100"/>
        <c:noMultiLvlLbl val="0"/>
      </c:catAx>
      <c:valAx>
        <c:axId val="555314896"/>
        <c:scaling>
          <c:orientation val="minMax"/>
        </c:scaling>
        <c:delete val="0"/>
        <c:axPos val="l"/>
        <c:majorGridlines/>
        <c:numFmt formatCode="#,##0_);\(#,##0\)" sourceLinked="1"/>
        <c:majorTickMark val="none"/>
        <c:minorTickMark val="none"/>
        <c:tickLblPos val="nextTo"/>
        <c:spPr>
          <a:ln w="9525">
            <a:noFill/>
          </a:ln>
        </c:spPr>
        <c:crossAx val="555319600"/>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66" l="0.70000000000000062" r="0.70000000000000062" t="0.750000000000005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13A. Annual System Investment</a:t>
            </a:r>
          </a:p>
          <a:p>
            <a:pPr algn="r">
              <a:defRPr sz="1200"/>
            </a:pPr>
            <a:r>
              <a:rPr lang="en-US" sz="1200"/>
              <a:t>Single Adults</a:t>
            </a:r>
          </a:p>
        </c:rich>
      </c:tx>
      <c:layout>
        <c:manualLayout>
          <c:xMode val="edge"/>
          <c:yMode val="edge"/>
          <c:x val="0.54333094472230703"/>
          <c:y val="2.354489316479938E-2"/>
        </c:manualLayout>
      </c:layout>
      <c:overlay val="0"/>
    </c:title>
    <c:autoTitleDeleted val="0"/>
    <c:plotArea>
      <c:layout>
        <c:manualLayout>
          <c:layoutTarget val="inner"/>
          <c:xMode val="edge"/>
          <c:yMode val="edge"/>
          <c:x val="5.4283683289589012E-2"/>
          <c:y val="0.15721930592009609"/>
          <c:w val="0.48658683289589305"/>
          <c:h val="0.81097805482648511"/>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091341843139265"/>
          <c:y val="0.70777376786235058"/>
          <c:w val="0.42668688153111434"/>
          <c:h val="0.28826407115777386"/>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22" l="0.70000000000000062" r="0.70000000000000062" t="0.750000000000005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13B. Annual System Investments</a:t>
            </a:r>
          </a:p>
          <a:p>
            <a:pPr algn="r">
              <a:defRPr sz="1200"/>
            </a:pPr>
            <a:r>
              <a:rPr lang="en-US" sz="1200"/>
              <a:t>Family Households</a:t>
            </a:r>
          </a:p>
        </c:rich>
      </c:tx>
      <c:layout>
        <c:manualLayout>
          <c:xMode val="edge"/>
          <c:yMode val="edge"/>
          <c:x val="0.52181975833764849"/>
          <c:y val="2.7910160552034411E-2"/>
        </c:manualLayout>
      </c:layout>
      <c:overlay val="0"/>
    </c:title>
    <c:autoTitleDeleted val="0"/>
    <c:plotArea>
      <c:layout>
        <c:manualLayout>
          <c:layoutTarget val="inner"/>
          <c:xMode val="edge"/>
          <c:yMode val="edge"/>
          <c:x val="9.0394794400700015E-2"/>
          <c:y val="0.1340711577719452"/>
          <c:w val="0.48936461067367037"/>
          <c:h val="0.81560768445610965"/>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78284779619962"/>
          <c:y val="0.71703302712160977"/>
          <c:w val="0.38803953853594386"/>
          <c:h val="0.27900481189851406"/>
        </c:manualLayout>
      </c:layout>
      <c:overlay val="0"/>
    </c:legend>
    <c:plotVisOnly val="1"/>
    <c:dispBlanksAs val="zero"/>
    <c:showDLblsOverMax val="0"/>
  </c:chart>
  <c:spPr>
    <a:solidFill>
      <a:srgbClr val="FFFF99">
        <a:alpha val="50000"/>
      </a:srgbClr>
    </a:solidFill>
  </c:spPr>
  <c:printSettings>
    <c:headerFooter/>
    <c:pageMargins b="0.75000000000000522" l="0.70000000000000062" r="0.70000000000000062" t="0.750000000000005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13C. Annual System Investments</a:t>
            </a:r>
          </a:p>
          <a:p>
            <a:pPr algn="r">
              <a:defRPr sz="1200"/>
            </a:pPr>
            <a:r>
              <a:rPr lang="en-US" sz="1200"/>
              <a:t>All Households</a:t>
            </a:r>
          </a:p>
        </c:rich>
      </c:tx>
      <c:layout>
        <c:manualLayout>
          <c:xMode val="edge"/>
          <c:yMode val="edge"/>
          <c:x val="0.50850699912510422"/>
          <c:y val="3.7037037037037056E-2"/>
        </c:manualLayout>
      </c:layout>
      <c:overlay val="0"/>
    </c:title>
    <c:autoTitleDeleted val="0"/>
    <c:plotArea>
      <c:layout>
        <c:manualLayout>
          <c:layoutTarget val="inner"/>
          <c:xMode val="edge"/>
          <c:yMode val="edge"/>
          <c:x val="4.8728127734033413E-2"/>
          <c:y val="0.12018226888305629"/>
          <c:w val="0.49492016622922708"/>
          <c:h val="0.82486694371536229"/>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544"/>
          <c:y val="0.72166265675123942"/>
          <c:w val="0.40531014873140858"/>
          <c:h val="0.27437518226888463"/>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3C. Rate of Exits to Permanent</a:t>
            </a:r>
            <a:r>
              <a:rPr lang="en-US" sz="1200" baseline="0"/>
              <a:t> Housing</a:t>
            </a:r>
          </a:p>
          <a:p>
            <a:pPr>
              <a:defRPr sz="1200"/>
            </a:pPr>
            <a:r>
              <a:rPr lang="en-US" sz="1200"/>
              <a:t>All Households</a:t>
            </a:r>
          </a:p>
        </c:rich>
      </c:tx>
      <c:overlay val="0"/>
    </c:title>
    <c:autoTitleDeleted val="0"/>
    <c:plotArea>
      <c:layout/>
      <c:barChart>
        <c:barDir val="col"/>
        <c:grouping val="clustered"/>
        <c:varyColors val="0"/>
        <c:ser>
          <c:idx val="0"/>
          <c:order val="0"/>
          <c:tx>
            <c:strRef>
              <c:f>Formulas!$CK$17</c:f>
              <c:strCache>
                <c:ptCount val="1"/>
                <c:pt idx="0">
                  <c:v>Rate of Exit to PH - All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Formulas!$CH$18:$CH$20</c:f>
              <c:strCache>
                <c:ptCount val="3"/>
                <c:pt idx="0">
                  <c:v>Emergency Shelters</c:v>
                </c:pt>
                <c:pt idx="1">
                  <c:v>Transitional Housing</c:v>
                </c:pt>
                <c:pt idx="2">
                  <c:v>Rapid Re-Housing</c:v>
                </c:pt>
              </c:strCache>
            </c:strRef>
          </c:cat>
          <c:val>
            <c:numRef>
              <c:f>Formulas!$CK$18:$CK$20</c:f>
              <c:numCache>
                <c:formatCode>0%</c:formatCode>
                <c:ptCount val="3"/>
                <c:pt idx="0">
                  <c:v>0.20303030303030303</c:v>
                </c:pt>
                <c:pt idx="1">
                  <c:v>0.49230769230769228</c:v>
                </c:pt>
                <c:pt idx="2">
                  <c:v>0.81647058823529417</c:v>
                </c:pt>
              </c:numCache>
            </c:numRef>
          </c:val>
        </c:ser>
        <c:dLbls>
          <c:showLegendKey val="0"/>
          <c:showVal val="1"/>
          <c:showCatName val="0"/>
          <c:showSerName val="0"/>
          <c:showPercent val="0"/>
          <c:showBubbleSize val="0"/>
        </c:dLbls>
        <c:gapWidth val="50"/>
        <c:axId val="559012856"/>
        <c:axId val="559015208"/>
      </c:barChart>
      <c:catAx>
        <c:axId val="559012856"/>
        <c:scaling>
          <c:orientation val="minMax"/>
        </c:scaling>
        <c:delete val="0"/>
        <c:axPos val="b"/>
        <c:numFmt formatCode="General" sourceLinked="0"/>
        <c:majorTickMark val="out"/>
        <c:minorTickMark val="none"/>
        <c:tickLblPos val="nextTo"/>
        <c:crossAx val="559015208"/>
        <c:crosses val="autoZero"/>
        <c:auto val="1"/>
        <c:lblAlgn val="ctr"/>
        <c:lblOffset val="100"/>
        <c:noMultiLvlLbl val="0"/>
      </c:catAx>
      <c:valAx>
        <c:axId val="559015208"/>
        <c:scaling>
          <c:orientation val="minMax"/>
        </c:scaling>
        <c:delete val="0"/>
        <c:axPos val="l"/>
        <c:majorGridlines/>
        <c:numFmt formatCode="0%" sourceLinked="1"/>
        <c:majorTickMark val="out"/>
        <c:minorTickMark val="none"/>
        <c:tickLblPos val="nextTo"/>
        <c:crossAx val="559012856"/>
        <c:crosses val="autoZero"/>
        <c:crossBetween val="between"/>
      </c:valAx>
      <c:spPr>
        <a:solidFill>
          <a:sysClr val="window" lastClr="FFFFFF">
            <a:lumMod val="95000"/>
          </a:sysClr>
        </a:solidFill>
      </c:spPr>
    </c:plotArea>
    <c:plotVisOnly val="1"/>
    <c:dispBlanksAs val="gap"/>
    <c:showDLblsOverMax val="0"/>
  </c:chart>
  <c:spPr>
    <a:solidFill>
      <a:sysClr val="window" lastClr="FFFFFF">
        <a:lumMod val="95000"/>
      </a:sysClr>
    </a:solidFill>
  </c:spPr>
  <c:printSettings>
    <c:headerFooter/>
    <c:pageMargins b="0.750000000000006" l="0.70000000000000062" r="0.70000000000000062" t="0.75000000000000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Formulas!$AO$54</c:f>
          <c:strCache>
            <c:ptCount val="1"/>
            <c:pt idx="0">
              <c:v>14C. Rate of Return to Homelessness
All Households</c:v>
            </c:pt>
          </c:strCache>
        </c:strRef>
      </c:tx>
      <c:overlay val="0"/>
      <c:txPr>
        <a:bodyPr/>
        <a:lstStyle/>
        <a:p>
          <a:pPr>
            <a:defRPr sz="1200"/>
          </a:pPr>
          <a:endParaRPr lang="en-US"/>
        </a:p>
      </c:txPr>
    </c:title>
    <c:autoTitleDeleted val="0"/>
    <c:plotArea>
      <c:layout>
        <c:manualLayout>
          <c:layoutTarget val="inner"/>
          <c:xMode val="edge"/>
          <c:yMode val="edge"/>
          <c:x val="9.1849518810148481E-2"/>
          <c:y val="0.25130796150481666"/>
          <c:w val="0.866300962379705"/>
          <c:h val="0.55267570720326664"/>
        </c:manualLayout>
      </c:layout>
      <c:barChart>
        <c:barDir val="col"/>
        <c:grouping val="clustered"/>
        <c:varyColors val="0"/>
        <c:ser>
          <c:idx val="2"/>
          <c:order val="2"/>
          <c:tx>
            <c:strRef>
              <c:f>Formulas!$AT$53</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Formulas!$AP$54:$AP$57</c:f>
              <c:strCache>
                <c:ptCount val="4"/>
                <c:pt idx="0">
                  <c:v>ES</c:v>
                </c:pt>
                <c:pt idx="1">
                  <c:v>TH</c:v>
                </c:pt>
                <c:pt idx="2">
                  <c:v>RR</c:v>
                </c:pt>
                <c:pt idx="3">
                  <c:v>All Programs</c:v>
                </c:pt>
              </c:strCache>
            </c:strRef>
          </c:cat>
          <c:val>
            <c:numRef>
              <c:f>Formulas!$AT$54:$AT$57</c:f>
              <c:numCache>
                <c:formatCode>0%</c:formatCode>
                <c:ptCount val="4"/>
                <c:pt idx="0">
                  <c:v>0.13432835820895522</c:v>
                </c:pt>
                <c:pt idx="1">
                  <c:v>8.203125E-2</c:v>
                </c:pt>
                <c:pt idx="2">
                  <c:v>5.4755043227665709E-2</c:v>
                </c:pt>
                <c:pt idx="3">
                  <c:v>9.0371550478873644E-2</c:v>
                </c:pt>
              </c:numCache>
            </c:numRef>
          </c:val>
        </c:ser>
        <c:ser>
          <c:idx val="3"/>
          <c:order val="3"/>
          <c:tx>
            <c:strRef>
              <c:f>Formulas!$AU$53</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Formulas!$AP$54:$AP$57</c:f>
              <c:strCache>
                <c:ptCount val="4"/>
                <c:pt idx="0">
                  <c:v>ES</c:v>
                </c:pt>
                <c:pt idx="1">
                  <c:v>TH</c:v>
                </c:pt>
                <c:pt idx="2">
                  <c:v>RR</c:v>
                </c:pt>
                <c:pt idx="3">
                  <c:v>All Programs</c:v>
                </c:pt>
              </c:strCache>
            </c:strRef>
          </c:cat>
          <c:val>
            <c:numRef>
              <c:f>Formulas!$AU$54:$AU$57</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75"/>
        <c:axId val="555316464"/>
        <c:axId val="555319208"/>
      </c:barChart>
      <c:barChart>
        <c:barDir val="col"/>
        <c:grouping val="clustered"/>
        <c:varyColors val="0"/>
        <c:ser>
          <c:idx val="0"/>
          <c:order val="0"/>
          <c:tx>
            <c:strRef>
              <c:f>Formulas!$AQ$53</c:f>
              <c:strCache>
                <c:ptCount val="1"/>
                <c:pt idx="0">
                  <c:v>Current</c:v>
                </c:pt>
              </c:strCache>
            </c:strRef>
          </c:tx>
          <c:invertIfNegative val="0"/>
          <c:cat>
            <c:strRef>
              <c:f>Formulas!$AP$54:$AP$57</c:f>
              <c:strCache>
                <c:ptCount val="4"/>
                <c:pt idx="0">
                  <c:v>ES</c:v>
                </c:pt>
                <c:pt idx="1">
                  <c:v>TH</c:v>
                </c:pt>
                <c:pt idx="2">
                  <c:v>RR</c:v>
                </c:pt>
                <c:pt idx="3">
                  <c:v>All Programs</c:v>
                </c:pt>
              </c:strCache>
            </c:strRef>
          </c:cat>
          <c:val>
            <c:numRef>
              <c:f>Formulas!$AQ$54:$AQ$57</c:f>
              <c:numCache>
                <c:formatCode>0%</c:formatCode>
                <c:ptCount val="4"/>
                <c:pt idx="0">
                  <c:v>0.13432835820895522</c:v>
                </c:pt>
                <c:pt idx="1">
                  <c:v>8.203125E-2</c:v>
                </c:pt>
                <c:pt idx="2">
                  <c:v>5.4755043227665709E-2</c:v>
                </c:pt>
                <c:pt idx="3">
                  <c:v>9.0371550478873644E-2</c:v>
                </c:pt>
              </c:numCache>
            </c:numRef>
          </c:val>
        </c:ser>
        <c:ser>
          <c:idx val="1"/>
          <c:order val="1"/>
          <c:tx>
            <c:strRef>
              <c:f>Formulas!$AR$53</c:f>
              <c:strCache>
                <c:ptCount val="1"/>
                <c:pt idx="0">
                  <c:v>New</c:v>
                </c:pt>
              </c:strCache>
            </c:strRef>
          </c:tx>
          <c:invertIfNegative val="0"/>
          <c:cat>
            <c:strRef>
              <c:f>Formulas!$AP$54:$AP$57</c:f>
              <c:strCache>
                <c:ptCount val="4"/>
                <c:pt idx="0">
                  <c:v>ES</c:v>
                </c:pt>
                <c:pt idx="1">
                  <c:v>TH</c:v>
                </c:pt>
                <c:pt idx="2">
                  <c:v>RR</c:v>
                </c:pt>
                <c:pt idx="3">
                  <c:v>All Programs</c:v>
                </c:pt>
              </c:strCache>
            </c:strRef>
          </c:cat>
          <c:val>
            <c:numRef>
              <c:f>Formulas!$AR$54:$AR$57</c:f>
              <c:numCache>
                <c:formatCode>0%</c:formatCode>
                <c:ptCount val="4"/>
                <c:pt idx="0">
                  <c:v>0.13432835820895522</c:v>
                </c:pt>
                <c:pt idx="1">
                  <c:v>8.203125E-2</c:v>
                </c:pt>
                <c:pt idx="2">
                  <c:v>5.4755043227665709E-2</c:v>
                </c:pt>
                <c:pt idx="3">
                  <c:v>9.0371550478873644E-2</c:v>
                </c:pt>
              </c:numCache>
            </c:numRef>
          </c:val>
        </c:ser>
        <c:dLbls>
          <c:showLegendKey val="0"/>
          <c:showVal val="0"/>
          <c:showCatName val="0"/>
          <c:showSerName val="0"/>
          <c:showPercent val="0"/>
          <c:showBubbleSize val="0"/>
        </c:dLbls>
        <c:gapWidth val="75"/>
        <c:axId val="555316856"/>
        <c:axId val="555318032"/>
      </c:barChart>
      <c:catAx>
        <c:axId val="555316464"/>
        <c:scaling>
          <c:orientation val="minMax"/>
        </c:scaling>
        <c:delete val="0"/>
        <c:axPos val="b"/>
        <c:numFmt formatCode="General" sourceLinked="0"/>
        <c:majorTickMark val="none"/>
        <c:minorTickMark val="none"/>
        <c:tickLblPos val="nextTo"/>
        <c:crossAx val="555319208"/>
        <c:crosses val="autoZero"/>
        <c:auto val="1"/>
        <c:lblAlgn val="ctr"/>
        <c:lblOffset val="100"/>
        <c:noMultiLvlLbl val="0"/>
      </c:catAx>
      <c:valAx>
        <c:axId val="555319208"/>
        <c:scaling>
          <c:orientation val="minMax"/>
        </c:scaling>
        <c:delete val="0"/>
        <c:axPos val="l"/>
        <c:majorGridlines/>
        <c:numFmt formatCode="0%" sourceLinked="1"/>
        <c:majorTickMark val="none"/>
        <c:minorTickMark val="none"/>
        <c:tickLblPos val="nextTo"/>
        <c:crossAx val="555316464"/>
        <c:crosses val="autoZero"/>
        <c:crossBetween val="between"/>
      </c:valAx>
      <c:valAx>
        <c:axId val="555318032"/>
        <c:scaling>
          <c:orientation val="minMax"/>
        </c:scaling>
        <c:delete val="1"/>
        <c:axPos val="r"/>
        <c:numFmt formatCode="0%" sourceLinked="1"/>
        <c:majorTickMark val="out"/>
        <c:minorTickMark val="none"/>
        <c:tickLblPos val="none"/>
        <c:crossAx val="555316856"/>
        <c:crosses val="max"/>
        <c:crossBetween val="between"/>
      </c:valAx>
      <c:catAx>
        <c:axId val="555316856"/>
        <c:scaling>
          <c:orientation val="minMax"/>
        </c:scaling>
        <c:delete val="1"/>
        <c:axPos val="b"/>
        <c:numFmt formatCode="General" sourceLinked="1"/>
        <c:majorTickMark val="out"/>
        <c:minorTickMark val="none"/>
        <c:tickLblPos val="none"/>
        <c:crossAx val="55531803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38052668416448743"/>
          <c:y val="0.90702354913969052"/>
          <c:w val="0.23894663167104338"/>
          <c:h val="8.3717191601050026E-2"/>
        </c:manualLayout>
      </c:layout>
      <c:overlay val="0"/>
    </c:legend>
    <c:plotVisOnly val="1"/>
    <c:dispBlanksAs val="gap"/>
    <c:showDLblsOverMax val="0"/>
  </c:chart>
  <c:spPr>
    <a:solidFill>
      <a:schemeClr val="bg1">
        <a:lumMod val="95000"/>
        <a:alpha val="50000"/>
      </a:schemeClr>
    </a:solidFill>
  </c:spPr>
  <c:printSettings>
    <c:headerFooter/>
    <c:pageMargins b="0.75000000000000566" l="0.70000000000000062" r="0.70000000000000062" t="0.7500000000000056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Formulas!$AO$40</c:f>
          <c:strCache>
            <c:ptCount val="1"/>
            <c:pt idx="0">
              <c:v>14B. Rate of Return to Homelessness
Family Households</c:v>
            </c:pt>
          </c:strCache>
        </c:strRef>
      </c:tx>
      <c:layout>
        <c:manualLayout>
          <c:xMode val="edge"/>
          <c:yMode val="edge"/>
          <c:x val="0.22781933508311494"/>
          <c:y val="2.7777777777778349E-2"/>
        </c:manualLayout>
      </c:layout>
      <c:overlay val="0"/>
      <c:txPr>
        <a:bodyPr/>
        <a:lstStyle/>
        <a:p>
          <a:pPr>
            <a:defRPr sz="1200"/>
          </a:pPr>
          <a:endParaRPr lang="en-US"/>
        </a:p>
      </c:txPr>
    </c:title>
    <c:autoTitleDeleted val="0"/>
    <c:plotArea>
      <c:layout>
        <c:manualLayout>
          <c:layoutTarget val="inner"/>
          <c:xMode val="edge"/>
          <c:yMode val="edge"/>
          <c:x val="9.1849518810148481E-2"/>
          <c:y val="0.25130796150481666"/>
          <c:w val="0.87759492563429575"/>
          <c:h val="0.5897127442402964"/>
        </c:manualLayout>
      </c:layout>
      <c:barChart>
        <c:barDir val="col"/>
        <c:grouping val="clustered"/>
        <c:varyColors val="0"/>
        <c:ser>
          <c:idx val="2"/>
          <c:order val="2"/>
          <c:tx>
            <c:strRef>
              <c:f>Formulas!$AT$39</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Formulas!$AP$40:$AP$43</c:f>
              <c:strCache>
                <c:ptCount val="4"/>
                <c:pt idx="0">
                  <c:v>ES</c:v>
                </c:pt>
                <c:pt idx="1">
                  <c:v>TH</c:v>
                </c:pt>
                <c:pt idx="2">
                  <c:v>RR</c:v>
                </c:pt>
                <c:pt idx="3">
                  <c:v>All Programs</c:v>
                </c:pt>
              </c:strCache>
            </c:strRef>
          </c:cat>
          <c:val>
            <c:numRef>
              <c:f>Formulas!$AT$40:$AT$43</c:f>
              <c:numCache>
                <c:formatCode>0%</c:formatCode>
                <c:ptCount val="4"/>
                <c:pt idx="0">
                  <c:v>0.10948905109489052</c:v>
                </c:pt>
                <c:pt idx="1">
                  <c:v>8.8607594936708861E-2</c:v>
                </c:pt>
                <c:pt idx="2">
                  <c:v>3.8297872340425532E-2</c:v>
                </c:pt>
                <c:pt idx="3">
                  <c:v>7.879817279067497E-2</c:v>
                </c:pt>
              </c:numCache>
            </c:numRef>
          </c:val>
        </c:ser>
        <c:ser>
          <c:idx val="3"/>
          <c:order val="3"/>
          <c:tx>
            <c:strRef>
              <c:f>Formulas!$AU$39</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Formulas!$AP$40:$AP$43</c:f>
              <c:strCache>
                <c:ptCount val="4"/>
                <c:pt idx="0">
                  <c:v>ES</c:v>
                </c:pt>
                <c:pt idx="1">
                  <c:v>TH</c:v>
                </c:pt>
                <c:pt idx="2">
                  <c:v>RR</c:v>
                </c:pt>
                <c:pt idx="3">
                  <c:v>All Programs</c:v>
                </c:pt>
              </c:strCache>
            </c:strRef>
          </c:cat>
          <c:val>
            <c:numRef>
              <c:f>Formulas!$AU$40:$AU$43</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75"/>
        <c:axId val="555318816"/>
        <c:axId val="555320384"/>
      </c:barChart>
      <c:barChart>
        <c:barDir val="col"/>
        <c:grouping val="clustered"/>
        <c:varyColors val="0"/>
        <c:ser>
          <c:idx val="0"/>
          <c:order val="0"/>
          <c:tx>
            <c:strRef>
              <c:f>Formulas!$AQ$39</c:f>
              <c:strCache>
                <c:ptCount val="1"/>
                <c:pt idx="0">
                  <c:v>Current</c:v>
                </c:pt>
              </c:strCache>
            </c:strRef>
          </c:tx>
          <c:invertIfNegative val="0"/>
          <c:cat>
            <c:strRef>
              <c:f>Formulas!$AP$40:$AP$43</c:f>
              <c:strCache>
                <c:ptCount val="4"/>
                <c:pt idx="0">
                  <c:v>ES</c:v>
                </c:pt>
                <c:pt idx="1">
                  <c:v>TH</c:v>
                </c:pt>
                <c:pt idx="2">
                  <c:v>RR</c:v>
                </c:pt>
                <c:pt idx="3">
                  <c:v>All Programs</c:v>
                </c:pt>
              </c:strCache>
            </c:strRef>
          </c:cat>
          <c:val>
            <c:numRef>
              <c:f>Formulas!$AQ$40:$AQ$43</c:f>
              <c:numCache>
                <c:formatCode>0%</c:formatCode>
                <c:ptCount val="4"/>
                <c:pt idx="0">
                  <c:v>0.10948905109489052</c:v>
                </c:pt>
                <c:pt idx="1">
                  <c:v>8.8607594936708861E-2</c:v>
                </c:pt>
                <c:pt idx="2">
                  <c:v>3.8297872340425532E-2</c:v>
                </c:pt>
                <c:pt idx="3">
                  <c:v>7.879817279067497E-2</c:v>
                </c:pt>
              </c:numCache>
            </c:numRef>
          </c:val>
        </c:ser>
        <c:ser>
          <c:idx val="1"/>
          <c:order val="1"/>
          <c:tx>
            <c:strRef>
              <c:f>Formulas!$AR$39</c:f>
              <c:strCache>
                <c:ptCount val="1"/>
                <c:pt idx="0">
                  <c:v>New</c:v>
                </c:pt>
              </c:strCache>
            </c:strRef>
          </c:tx>
          <c:invertIfNegative val="0"/>
          <c:cat>
            <c:strRef>
              <c:f>Formulas!$AP$40:$AP$43</c:f>
              <c:strCache>
                <c:ptCount val="4"/>
                <c:pt idx="0">
                  <c:v>ES</c:v>
                </c:pt>
                <c:pt idx="1">
                  <c:v>TH</c:v>
                </c:pt>
                <c:pt idx="2">
                  <c:v>RR</c:v>
                </c:pt>
                <c:pt idx="3">
                  <c:v>All Programs</c:v>
                </c:pt>
              </c:strCache>
            </c:strRef>
          </c:cat>
          <c:val>
            <c:numRef>
              <c:f>Formulas!$AR$40:$AR$43</c:f>
              <c:numCache>
                <c:formatCode>0%</c:formatCode>
                <c:ptCount val="4"/>
                <c:pt idx="0">
                  <c:v>0.10948905109489052</c:v>
                </c:pt>
                <c:pt idx="1">
                  <c:v>8.8607594936708861E-2</c:v>
                </c:pt>
                <c:pt idx="2">
                  <c:v>3.8297872340425532E-2</c:v>
                </c:pt>
                <c:pt idx="3">
                  <c:v>7.879817279067497E-2</c:v>
                </c:pt>
              </c:numCache>
            </c:numRef>
          </c:val>
        </c:ser>
        <c:dLbls>
          <c:showLegendKey val="0"/>
          <c:showVal val="0"/>
          <c:showCatName val="0"/>
          <c:showSerName val="0"/>
          <c:showPercent val="0"/>
          <c:showBubbleSize val="0"/>
        </c:dLbls>
        <c:gapWidth val="75"/>
        <c:axId val="594565040"/>
        <c:axId val="594569352"/>
      </c:barChart>
      <c:catAx>
        <c:axId val="555318816"/>
        <c:scaling>
          <c:orientation val="minMax"/>
        </c:scaling>
        <c:delete val="0"/>
        <c:axPos val="b"/>
        <c:numFmt formatCode="General" sourceLinked="0"/>
        <c:majorTickMark val="none"/>
        <c:minorTickMark val="none"/>
        <c:tickLblPos val="nextTo"/>
        <c:crossAx val="555320384"/>
        <c:crosses val="autoZero"/>
        <c:auto val="1"/>
        <c:lblAlgn val="ctr"/>
        <c:lblOffset val="100"/>
        <c:noMultiLvlLbl val="0"/>
      </c:catAx>
      <c:valAx>
        <c:axId val="555320384"/>
        <c:scaling>
          <c:orientation val="minMax"/>
        </c:scaling>
        <c:delete val="0"/>
        <c:axPos val="l"/>
        <c:majorGridlines/>
        <c:numFmt formatCode="0%" sourceLinked="1"/>
        <c:majorTickMark val="none"/>
        <c:minorTickMark val="none"/>
        <c:tickLblPos val="nextTo"/>
        <c:crossAx val="555318816"/>
        <c:crosses val="autoZero"/>
        <c:crossBetween val="between"/>
      </c:valAx>
      <c:valAx>
        <c:axId val="594569352"/>
        <c:scaling>
          <c:orientation val="minMax"/>
        </c:scaling>
        <c:delete val="1"/>
        <c:axPos val="r"/>
        <c:numFmt formatCode="0%" sourceLinked="1"/>
        <c:majorTickMark val="out"/>
        <c:minorTickMark val="none"/>
        <c:tickLblPos val="none"/>
        <c:crossAx val="594565040"/>
        <c:crosses val="max"/>
        <c:crossBetween val="between"/>
      </c:valAx>
      <c:catAx>
        <c:axId val="594565040"/>
        <c:scaling>
          <c:orientation val="minMax"/>
        </c:scaling>
        <c:delete val="1"/>
        <c:axPos val="b"/>
        <c:numFmt formatCode="General" sourceLinked="1"/>
        <c:majorTickMark val="out"/>
        <c:minorTickMark val="none"/>
        <c:tickLblPos val="none"/>
        <c:crossAx val="59456935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8886001749781879"/>
          <c:y val="0.91628280839894949"/>
          <c:w val="0.23894663167104338"/>
          <c:h val="8.3717191601050026E-2"/>
        </c:manualLayout>
      </c:layout>
      <c:overlay val="0"/>
    </c:legend>
    <c:plotVisOnly val="1"/>
    <c:dispBlanksAs val="gap"/>
    <c:showDLblsOverMax val="0"/>
  </c:chart>
  <c:spPr>
    <a:solidFill>
      <a:srgbClr val="FFFF99">
        <a:alpha val="50000"/>
      </a:srgbClr>
    </a:solidFill>
  </c:spPr>
  <c:printSettings>
    <c:headerFooter/>
    <c:pageMargins b="0.75000000000000544" l="0.70000000000000062" r="0.70000000000000062" t="0.75000000000000544"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Formulas!$AO$26</c:f>
          <c:strCache>
            <c:ptCount val="1"/>
            <c:pt idx="0">
              <c:v>14A. Rate of Return to Homelessness
Single Adults</c:v>
            </c:pt>
          </c:strCache>
        </c:strRef>
      </c:tx>
      <c:layout>
        <c:manualLayout>
          <c:xMode val="edge"/>
          <c:yMode val="edge"/>
          <c:x val="0.28615266841644832"/>
          <c:y val="3.2407407407407836E-2"/>
        </c:manualLayout>
      </c:layout>
      <c:overlay val="0"/>
      <c:txPr>
        <a:bodyPr/>
        <a:lstStyle/>
        <a:p>
          <a:pPr>
            <a:defRPr sz="1200"/>
          </a:pPr>
          <a:endParaRPr lang="en-US"/>
        </a:p>
      </c:txPr>
    </c:title>
    <c:autoTitleDeleted val="0"/>
    <c:plotArea>
      <c:layout>
        <c:manualLayout>
          <c:layoutTarget val="inner"/>
          <c:xMode val="edge"/>
          <c:yMode val="edge"/>
          <c:x val="9.1849518810148481E-2"/>
          <c:y val="0.25130796150481666"/>
          <c:w val="0.87759492563429575"/>
          <c:h val="0.55267570720326664"/>
        </c:manualLayout>
      </c:layout>
      <c:barChart>
        <c:barDir val="col"/>
        <c:grouping val="clustered"/>
        <c:varyColors val="0"/>
        <c:ser>
          <c:idx val="2"/>
          <c:order val="2"/>
          <c:tx>
            <c:strRef>
              <c:f>Formulas!$AT$25</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Formulas!$AP$26:$AP$29</c:f>
              <c:strCache>
                <c:ptCount val="4"/>
                <c:pt idx="0">
                  <c:v>ES</c:v>
                </c:pt>
                <c:pt idx="1">
                  <c:v>TH</c:v>
                </c:pt>
                <c:pt idx="2">
                  <c:v>RR</c:v>
                </c:pt>
                <c:pt idx="3">
                  <c:v>All Programs</c:v>
                </c:pt>
              </c:strCache>
            </c:strRef>
          </c:cat>
          <c:val>
            <c:numRef>
              <c:f>Formulas!$AT$26:$AT$29</c:f>
              <c:numCache>
                <c:formatCode>0%</c:formatCode>
                <c:ptCount val="4"/>
                <c:pt idx="0">
                  <c:v>0.14716981132075471</c:v>
                </c:pt>
                <c:pt idx="1">
                  <c:v>7.1428571428571425E-2</c:v>
                </c:pt>
                <c:pt idx="2">
                  <c:v>8.9285714285714288E-2</c:v>
                </c:pt>
                <c:pt idx="3">
                  <c:v>0.10262803234501348</c:v>
                </c:pt>
              </c:numCache>
            </c:numRef>
          </c:val>
        </c:ser>
        <c:ser>
          <c:idx val="3"/>
          <c:order val="3"/>
          <c:tx>
            <c:strRef>
              <c:f>Formulas!$AU$25</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Formulas!$AP$26:$AP$29</c:f>
              <c:strCache>
                <c:ptCount val="4"/>
                <c:pt idx="0">
                  <c:v>ES</c:v>
                </c:pt>
                <c:pt idx="1">
                  <c:v>TH</c:v>
                </c:pt>
                <c:pt idx="2">
                  <c:v>RR</c:v>
                </c:pt>
                <c:pt idx="3">
                  <c:v>All Programs</c:v>
                </c:pt>
              </c:strCache>
            </c:strRef>
          </c:cat>
          <c:val>
            <c:numRef>
              <c:f>Formulas!$AU$26:$AU$29</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75"/>
        <c:axId val="594569744"/>
        <c:axId val="594566608"/>
      </c:barChart>
      <c:barChart>
        <c:barDir val="col"/>
        <c:grouping val="clustered"/>
        <c:varyColors val="0"/>
        <c:ser>
          <c:idx val="0"/>
          <c:order val="0"/>
          <c:tx>
            <c:strRef>
              <c:f>Formulas!$AQ$25</c:f>
              <c:strCache>
                <c:ptCount val="1"/>
                <c:pt idx="0">
                  <c:v>Current</c:v>
                </c:pt>
              </c:strCache>
            </c:strRef>
          </c:tx>
          <c:invertIfNegative val="0"/>
          <c:cat>
            <c:strRef>
              <c:f>Formulas!$AP$26:$AP$29</c:f>
              <c:strCache>
                <c:ptCount val="4"/>
                <c:pt idx="0">
                  <c:v>ES</c:v>
                </c:pt>
                <c:pt idx="1">
                  <c:v>TH</c:v>
                </c:pt>
                <c:pt idx="2">
                  <c:v>RR</c:v>
                </c:pt>
                <c:pt idx="3">
                  <c:v>All Programs</c:v>
                </c:pt>
              </c:strCache>
            </c:strRef>
          </c:cat>
          <c:val>
            <c:numRef>
              <c:f>Formulas!$AQ$26:$AQ$29</c:f>
              <c:numCache>
                <c:formatCode>0%</c:formatCode>
                <c:ptCount val="4"/>
                <c:pt idx="0">
                  <c:v>0.14716981132075471</c:v>
                </c:pt>
                <c:pt idx="1">
                  <c:v>7.1428571428571425E-2</c:v>
                </c:pt>
                <c:pt idx="2">
                  <c:v>8.9285714285714288E-2</c:v>
                </c:pt>
                <c:pt idx="3">
                  <c:v>0.10262803234501348</c:v>
                </c:pt>
              </c:numCache>
            </c:numRef>
          </c:val>
        </c:ser>
        <c:ser>
          <c:idx val="1"/>
          <c:order val="1"/>
          <c:tx>
            <c:strRef>
              <c:f>Formulas!$AR$25</c:f>
              <c:strCache>
                <c:ptCount val="1"/>
                <c:pt idx="0">
                  <c:v>New</c:v>
                </c:pt>
              </c:strCache>
            </c:strRef>
          </c:tx>
          <c:invertIfNegative val="0"/>
          <c:cat>
            <c:strRef>
              <c:f>Formulas!$AP$26:$AP$29</c:f>
              <c:strCache>
                <c:ptCount val="4"/>
                <c:pt idx="0">
                  <c:v>ES</c:v>
                </c:pt>
                <c:pt idx="1">
                  <c:v>TH</c:v>
                </c:pt>
                <c:pt idx="2">
                  <c:v>RR</c:v>
                </c:pt>
                <c:pt idx="3">
                  <c:v>All Programs</c:v>
                </c:pt>
              </c:strCache>
            </c:strRef>
          </c:cat>
          <c:val>
            <c:numRef>
              <c:f>Formulas!$AR$26:$AR$29</c:f>
              <c:numCache>
                <c:formatCode>0%</c:formatCode>
                <c:ptCount val="4"/>
                <c:pt idx="0">
                  <c:v>0.14716981132075471</c:v>
                </c:pt>
                <c:pt idx="1">
                  <c:v>7.1428571428571425E-2</c:v>
                </c:pt>
                <c:pt idx="2">
                  <c:v>8.9285714285714288E-2</c:v>
                </c:pt>
                <c:pt idx="3">
                  <c:v>0.10262803234501348</c:v>
                </c:pt>
              </c:numCache>
            </c:numRef>
          </c:val>
        </c:ser>
        <c:dLbls>
          <c:showLegendKey val="0"/>
          <c:showVal val="0"/>
          <c:showCatName val="0"/>
          <c:showSerName val="0"/>
          <c:showPercent val="0"/>
          <c:showBubbleSize val="0"/>
        </c:dLbls>
        <c:gapWidth val="75"/>
        <c:axId val="594567392"/>
        <c:axId val="594564256"/>
      </c:barChart>
      <c:catAx>
        <c:axId val="594569744"/>
        <c:scaling>
          <c:orientation val="minMax"/>
        </c:scaling>
        <c:delete val="0"/>
        <c:axPos val="b"/>
        <c:numFmt formatCode="General" sourceLinked="0"/>
        <c:majorTickMark val="none"/>
        <c:minorTickMark val="none"/>
        <c:tickLblPos val="nextTo"/>
        <c:crossAx val="594566608"/>
        <c:crosses val="autoZero"/>
        <c:auto val="1"/>
        <c:lblAlgn val="ctr"/>
        <c:lblOffset val="100"/>
        <c:noMultiLvlLbl val="0"/>
      </c:catAx>
      <c:valAx>
        <c:axId val="594566608"/>
        <c:scaling>
          <c:orientation val="minMax"/>
        </c:scaling>
        <c:delete val="0"/>
        <c:axPos val="l"/>
        <c:majorGridlines/>
        <c:numFmt formatCode="0%" sourceLinked="1"/>
        <c:majorTickMark val="none"/>
        <c:minorTickMark val="none"/>
        <c:tickLblPos val="nextTo"/>
        <c:crossAx val="594569744"/>
        <c:crosses val="autoZero"/>
        <c:crossBetween val="between"/>
      </c:valAx>
      <c:valAx>
        <c:axId val="594564256"/>
        <c:scaling>
          <c:orientation val="minMax"/>
        </c:scaling>
        <c:delete val="1"/>
        <c:axPos val="r"/>
        <c:numFmt formatCode="0%" sourceLinked="1"/>
        <c:majorTickMark val="out"/>
        <c:minorTickMark val="none"/>
        <c:tickLblPos val="none"/>
        <c:crossAx val="594567392"/>
        <c:crosses val="max"/>
        <c:crossBetween val="between"/>
      </c:valAx>
      <c:catAx>
        <c:axId val="594567392"/>
        <c:scaling>
          <c:orientation val="minMax"/>
        </c:scaling>
        <c:delete val="1"/>
        <c:axPos val="b"/>
        <c:numFmt formatCode="General" sourceLinked="1"/>
        <c:majorTickMark val="out"/>
        <c:minorTickMark val="none"/>
        <c:tickLblPos val="none"/>
        <c:crossAx val="59456425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7774890638670433"/>
          <c:y val="0.91628280839894949"/>
          <c:w val="0.23894663167104338"/>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Formulas!$AO$32</c:f>
          <c:strCache>
            <c:ptCount val="1"/>
            <c:pt idx="0">
              <c:v>15A. Permanent Housing Exits that "Stick"
Single Adults</c:v>
            </c:pt>
          </c:strCache>
        </c:strRef>
      </c:tx>
      <c:layout>
        <c:manualLayout>
          <c:xMode val="edge"/>
          <c:yMode val="edge"/>
          <c:x val="3.9995607888933804E-3"/>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19533573928258968"/>
          <c:w val="0.88337270341207352"/>
          <c:h val="0.66052274715660542"/>
        </c:manualLayout>
      </c:layout>
      <c:barChart>
        <c:barDir val="col"/>
        <c:grouping val="clustered"/>
        <c:varyColors val="0"/>
        <c:ser>
          <c:idx val="0"/>
          <c:order val="0"/>
          <c:tx>
            <c:strRef>
              <c:f>Formulas!$AQ$31</c:f>
              <c:strCache>
                <c:ptCount val="1"/>
                <c:pt idx="0">
                  <c:v>Current</c:v>
                </c:pt>
              </c:strCache>
            </c:strRef>
          </c:tx>
          <c:invertIfNegative val="0"/>
          <c:dLbls>
            <c:delete val="1"/>
          </c:dLbls>
          <c:cat>
            <c:strRef>
              <c:f>Formulas!$AP$32:$AP$35</c:f>
              <c:strCache>
                <c:ptCount val="4"/>
                <c:pt idx="0">
                  <c:v>ES</c:v>
                </c:pt>
                <c:pt idx="1">
                  <c:v>TH</c:v>
                </c:pt>
                <c:pt idx="2">
                  <c:v>RR</c:v>
                </c:pt>
                <c:pt idx="3">
                  <c:v>All Programs</c:v>
                </c:pt>
              </c:strCache>
            </c:strRef>
          </c:cat>
          <c:val>
            <c:numRef>
              <c:f>Formulas!$AQ$32:$AQ$35</c:f>
              <c:numCache>
                <c:formatCode>#,##0</c:formatCode>
                <c:ptCount val="4"/>
                <c:pt idx="0">
                  <c:v>226</c:v>
                </c:pt>
                <c:pt idx="1">
                  <c:v>91</c:v>
                </c:pt>
                <c:pt idx="2">
                  <c:v>102</c:v>
                </c:pt>
                <c:pt idx="3" formatCode="General">
                  <c:v>419</c:v>
                </c:pt>
              </c:numCache>
            </c:numRef>
          </c:val>
        </c:ser>
        <c:ser>
          <c:idx val="1"/>
          <c:order val="1"/>
          <c:tx>
            <c:strRef>
              <c:f>Formulas!$AR$31</c:f>
              <c:strCache>
                <c:ptCount val="1"/>
                <c:pt idx="0">
                  <c:v>New</c:v>
                </c:pt>
              </c:strCache>
            </c:strRef>
          </c:tx>
          <c:invertIfNegative val="0"/>
          <c:dLbls>
            <c:dLbl>
              <c:idx val="0"/>
              <c:tx>
                <c:strRef>
                  <c:f>Formulas!$AS$32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{1532D8AA-8C68-499D-95D7-6F95A7CFB137}</c15:txfldGUID>
                      <c15:f>Formulas!$AS$32</c15:f>
                      <c15:dlblFieldTableCache>
                        <c:ptCount val="1"/>
                      </c15:dlblFieldTableCache>
                    </c15:dlblFTEntry>
                  </c15:dlblFieldTable>
                  <c15:showDataLabelsRange val="0"/>
                </c:ext>
              </c:extLst>
            </c:dLbl>
            <c:dLbl>
              <c:idx val="1"/>
              <c:tx>
                <c:strRef>
                  <c:f>Formulas!$AS$33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{FCDB5DF4-9AFE-432A-8823-0CB64C03AC77}</c15:txfldGUID>
                      <c15:f>Formulas!$AS$33</c15:f>
                      <c15:dlblFieldTableCache>
                        <c:ptCount val="1"/>
                      </c15:dlblFieldTableCache>
                    </c15:dlblFTEntry>
                  </c15:dlblFieldTable>
                  <c15:showDataLabelsRange val="0"/>
                </c:ext>
              </c:extLst>
            </c:dLbl>
            <c:dLbl>
              <c:idx val="2"/>
              <c:tx>
                <c:strRef>
                  <c:f>Formulas!$AS$34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{DAC27D20-C500-4230-8B80-5AD5BD8328A6}</c15:txfldGUID>
                      <c15:f>Formulas!$AS$34</c15:f>
                      <c15:dlblFieldTableCache>
                        <c:ptCount val="1"/>
                      </c15:dlblFieldTableCache>
                    </c15:dlblFTEntry>
                  </c15:dlblFieldTable>
                  <c15:showDataLabelsRange val="0"/>
                </c:ext>
              </c:extLst>
            </c:dLbl>
            <c:dLbl>
              <c:idx val="3"/>
              <c:tx>
                <c:strRef>
                  <c:f>Formulas!$AS$35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{11D5231C-55D1-4924-B4CA-62E86F3D4019}</c15:txfldGUID>
                      <c15:f>Formulas!$AS$35</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Formulas!$AP$32:$AP$35</c:f>
              <c:strCache>
                <c:ptCount val="4"/>
                <c:pt idx="0">
                  <c:v>ES</c:v>
                </c:pt>
                <c:pt idx="1">
                  <c:v>TH</c:v>
                </c:pt>
                <c:pt idx="2">
                  <c:v>RR</c:v>
                </c:pt>
                <c:pt idx="3">
                  <c:v>All Programs</c:v>
                </c:pt>
              </c:strCache>
            </c:strRef>
          </c:cat>
          <c:val>
            <c:numRef>
              <c:f>Formulas!$AR$32:$AR$35</c:f>
              <c:numCache>
                <c:formatCode>0</c:formatCode>
                <c:ptCount val="4"/>
                <c:pt idx="0">
                  <c:v>226</c:v>
                </c:pt>
                <c:pt idx="1">
                  <c:v>91</c:v>
                </c:pt>
                <c:pt idx="2">
                  <c:v>102</c:v>
                </c:pt>
                <c:pt idx="3">
                  <c:v>419</c:v>
                </c:pt>
              </c:numCache>
            </c:numRef>
          </c:val>
        </c:ser>
        <c:dLbls>
          <c:showLegendKey val="0"/>
          <c:showVal val="1"/>
          <c:showCatName val="0"/>
          <c:showSerName val="0"/>
          <c:showPercent val="0"/>
          <c:showBubbleSize val="0"/>
        </c:dLbls>
        <c:gapWidth val="75"/>
        <c:axId val="594565432"/>
        <c:axId val="594568568"/>
      </c:barChart>
      <c:barChart>
        <c:barDir val="col"/>
        <c:grouping val="clustered"/>
        <c:varyColors val="0"/>
        <c:ser>
          <c:idx val="2"/>
          <c:order val="2"/>
          <c:tx>
            <c:strRef>
              <c:f>Formulas!$AT$31</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Formulas!$AP$32:$AP$35</c:f>
              <c:strCache>
                <c:ptCount val="4"/>
                <c:pt idx="0">
                  <c:v>ES</c:v>
                </c:pt>
                <c:pt idx="1">
                  <c:v>TH</c:v>
                </c:pt>
                <c:pt idx="2">
                  <c:v>RR</c:v>
                </c:pt>
                <c:pt idx="3">
                  <c:v>All Programs</c:v>
                </c:pt>
              </c:strCache>
            </c:strRef>
          </c:cat>
          <c:val>
            <c:numRef>
              <c:f>Formulas!$AT$32:$AT$35</c:f>
              <c:numCache>
                <c:formatCode>0</c:formatCode>
                <c:ptCount val="4"/>
                <c:pt idx="0">
                  <c:v>226</c:v>
                </c:pt>
                <c:pt idx="1">
                  <c:v>91</c:v>
                </c:pt>
                <c:pt idx="2">
                  <c:v>102</c:v>
                </c:pt>
                <c:pt idx="3">
                  <c:v>419</c:v>
                </c:pt>
              </c:numCache>
            </c:numRef>
          </c:val>
        </c:ser>
        <c:ser>
          <c:idx val="3"/>
          <c:order val="3"/>
          <c:tx>
            <c:strRef>
              <c:f>Formulas!$AU$31</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Formulas!$AP$32:$AP$35</c:f>
              <c:strCache>
                <c:ptCount val="4"/>
                <c:pt idx="0">
                  <c:v>ES</c:v>
                </c:pt>
                <c:pt idx="1">
                  <c:v>TH</c:v>
                </c:pt>
                <c:pt idx="2">
                  <c:v>RR</c:v>
                </c:pt>
                <c:pt idx="3">
                  <c:v>All Programs</c:v>
                </c:pt>
              </c:strCache>
            </c:strRef>
          </c:cat>
          <c:val>
            <c:numRef>
              <c:f>Formulas!$AU$32:$AU$35</c:f>
              <c:numCache>
                <c:formatCode>0</c:formatCode>
                <c:ptCount val="4"/>
                <c:pt idx="0">
                  <c:v>226</c:v>
                </c:pt>
                <c:pt idx="1">
                  <c:v>91</c:v>
                </c:pt>
                <c:pt idx="2">
                  <c:v>102</c:v>
                </c:pt>
                <c:pt idx="3">
                  <c:v>419</c:v>
                </c:pt>
              </c:numCache>
            </c:numRef>
          </c:val>
        </c:ser>
        <c:dLbls>
          <c:showLegendKey val="0"/>
          <c:showVal val="0"/>
          <c:showCatName val="0"/>
          <c:showSerName val="0"/>
          <c:showPercent val="0"/>
          <c:showBubbleSize val="0"/>
        </c:dLbls>
        <c:gapWidth val="75"/>
        <c:axId val="594567000"/>
        <c:axId val="594568960"/>
      </c:barChart>
      <c:catAx>
        <c:axId val="594565432"/>
        <c:scaling>
          <c:orientation val="minMax"/>
        </c:scaling>
        <c:delete val="0"/>
        <c:axPos val="b"/>
        <c:numFmt formatCode="General" sourceLinked="0"/>
        <c:majorTickMark val="none"/>
        <c:minorTickMark val="none"/>
        <c:tickLblPos val="nextTo"/>
        <c:crossAx val="594568568"/>
        <c:crosses val="autoZero"/>
        <c:auto val="1"/>
        <c:lblAlgn val="ctr"/>
        <c:lblOffset val="100"/>
        <c:noMultiLvlLbl val="0"/>
      </c:catAx>
      <c:valAx>
        <c:axId val="594568568"/>
        <c:scaling>
          <c:orientation val="minMax"/>
        </c:scaling>
        <c:delete val="0"/>
        <c:axPos val="l"/>
        <c:majorGridlines/>
        <c:numFmt formatCode="#,##0" sourceLinked="1"/>
        <c:majorTickMark val="none"/>
        <c:minorTickMark val="none"/>
        <c:tickLblPos val="nextTo"/>
        <c:crossAx val="594565432"/>
        <c:crosses val="autoZero"/>
        <c:crossBetween val="between"/>
      </c:valAx>
      <c:valAx>
        <c:axId val="594568960"/>
        <c:scaling>
          <c:orientation val="minMax"/>
        </c:scaling>
        <c:delete val="1"/>
        <c:axPos val="r"/>
        <c:numFmt formatCode="0" sourceLinked="1"/>
        <c:majorTickMark val="out"/>
        <c:minorTickMark val="none"/>
        <c:tickLblPos val="none"/>
        <c:crossAx val="594567000"/>
        <c:crosses val="max"/>
        <c:crossBetween val="between"/>
      </c:valAx>
      <c:catAx>
        <c:axId val="594567000"/>
        <c:scaling>
          <c:orientation val="minMax"/>
        </c:scaling>
        <c:delete val="1"/>
        <c:axPos val="b"/>
        <c:numFmt formatCode="General" sourceLinked="1"/>
        <c:majorTickMark val="out"/>
        <c:minorTickMark val="none"/>
        <c:tickLblPos val="none"/>
        <c:crossAx val="59456896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38052668416448743"/>
          <c:y val="0.91628280839894949"/>
          <c:w val="0.23894663167104338"/>
          <c:h val="8.3717191601050026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44" l="0.70000000000000062" r="0.70000000000000062" t="0.750000000000005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Formulas!$AO$46</c:f>
          <c:strCache>
            <c:ptCount val="1"/>
            <c:pt idx="0">
              <c:v>15B. Permanent Housing Exits that "Stick"
Family Households</c:v>
            </c:pt>
          </c:strCache>
        </c:strRef>
      </c:tx>
      <c:layout>
        <c:manualLayout>
          <c:xMode val="edge"/>
          <c:yMode val="edge"/>
          <c:x val="1.7690451137539987E-3"/>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19480351414406533"/>
          <c:w val="0.88337270341207352"/>
          <c:h val="0.63790682414698163"/>
        </c:manualLayout>
      </c:layout>
      <c:barChart>
        <c:barDir val="col"/>
        <c:grouping val="clustered"/>
        <c:varyColors val="0"/>
        <c:ser>
          <c:idx val="0"/>
          <c:order val="0"/>
          <c:tx>
            <c:strRef>
              <c:f>Formulas!$AQ$45</c:f>
              <c:strCache>
                <c:ptCount val="1"/>
                <c:pt idx="0">
                  <c:v>Current</c:v>
                </c:pt>
              </c:strCache>
            </c:strRef>
          </c:tx>
          <c:invertIfNegative val="0"/>
          <c:dLbls>
            <c:delete val="1"/>
          </c:dLbls>
          <c:cat>
            <c:strRef>
              <c:f>Formulas!$AP$46:$AP$49</c:f>
              <c:strCache>
                <c:ptCount val="4"/>
                <c:pt idx="0">
                  <c:v>ES</c:v>
                </c:pt>
                <c:pt idx="1">
                  <c:v>TH</c:v>
                </c:pt>
                <c:pt idx="2">
                  <c:v>RR</c:v>
                </c:pt>
                <c:pt idx="3">
                  <c:v>All Programs</c:v>
                </c:pt>
              </c:strCache>
            </c:strRef>
          </c:cat>
          <c:val>
            <c:numRef>
              <c:f>Formulas!$AQ$46:$AQ$49</c:f>
              <c:numCache>
                <c:formatCode>#,##0</c:formatCode>
                <c:ptCount val="4"/>
                <c:pt idx="0">
                  <c:v>122</c:v>
                </c:pt>
                <c:pt idx="1">
                  <c:v>144</c:v>
                </c:pt>
                <c:pt idx="2">
                  <c:v>226</c:v>
                </c:pt>
                <c:pt idx="3" formatCode="General">
                  <c:v>492</c:v>
                </c:pt>
              </c:numCache>
            </c:numRef>
          </c:val>
        </c:ser>
        <c:ser>
          <c:idx val="1"/>
          <c:order val="1"/>
          <c:tx>
            <c:strRef>
              <c:f>Formulas!$AR$45</c:f>
              <c:strCache>
                <c:ptCount val="1"/>
                <c:pt idx="0">
                  <c:v>New</c:v>
                </c:pt>
              </c:strCache>
            </c:strRef>
          </c:tx>
          <c:invertIfNegative val="0"/>
          <c:dLbls>
            <c:dLbl>
              <c:idx val="0"/>
              <c:tx>
                <c:strRef>
                  <c:f>Formulas!$AS$46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{9F84D25F-E090-4EFF-A9BB-DD35EACA9D21}</c15:txfldGUID>
                      <c15:f>Formulas!$AS$46</c15:f>
                      <c15:dlblFieldTableCache>
                        <c:ptCount val="1"/>
                      </c15:dlblFieldTableCache>
                    </c15:dlblFTEntry>
                  </c15:dlblFieldTable>
                  <c15:showDataLabelsRange val="0"/>
                </c:ext>
              </c:extLst>
            </c:dLbl>
            <c:dLbl>
              <c:idx val="1"/>
              <c:tx>
                <c:strRef>
                  <c:f>Formulas!$AS$47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{7201367E-723E-4017-8A08-E0E338F607A7}</c15:txfldGUID>
                      <c15:f>Formulas!$AS$47</c15:f>
                      <c15:dlblFieldTableCache>
                        <c:ptCount val="1"/>
                      </c15:dlblFieldTableCache>
                    </c15:dlblFTEntry>
                  </c15:dlblFieldTable>
                  <c15:showDataLabelsRange val="0"/>
                </c:ext>
              </c:extLst>
            </c:dLbl>
            <c:dLbl>
              <c:idx val="2"/>
              <c:tx>
                <c:strRef>
                  <c:f>Formulas!$AS$48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{F95CEB80-CEF6-4D20-877C-6C3DC1A34F73}</c15:txfldGUID>
                      <c15:f>Formulas!$AS$48</c15:f>
                      <c15:dlblFieldTableCache>
                        <c:ptCount val="1"/>
                      </c15:dlblFieldTableCache>
                    </c15:dlblFTEntry>
                  </c15:dlblFieldTable>
                  <c15:showDataLabelsRange val="0"/>
                </c:ext>
              </c:extLst>
            </c:dLbl>
            <c:dLbl>
              <c:idx val="3"/>
              <c:tx>
                <c:strRef>
                  <c:f>Formulas!$AS$49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{2E210355-1E42-4942-A8CB-9A1320AA56D1}</c15:txfldGUID>
                      <c15:f>Formulas!$AS$49</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Formulas!$AP$46:$AP$49</c:f>
              <c:strCache>
                <c:ptCount val="4"/>
                <c:pt idx="0">
                  <c:v>ES</c:v>
                </c:pt>
                <c:pt idx="1">
                  <c:v>TH</c:v>
                </c:pt>
                <c:pt idx="2">
                  <c:v>RR</c:v>
                </c:pt>
                <c:pt idx="3">
                  <c:v>All Programs</c:v>
                </c:pt>
              </c:strCache>
            </c:strRef>
          </c:cat>
          <c:val>
            <c:numRef>
              <c:f>Formulas!$AR$46:$AR$49</c:f>
              <c:numCache>
                <c:formatCode>0</c:formatCode>
                <c:ptCount val="4"/>
                <c:pt idx="0">
                  <c:v>122</c:v>
                </c:pt>
                <c:pt idx="1">
                  <c:v>143.99999999999997</c:v>
                </c:pt>
                <c:pt idx="2">
                  <c:v>226</c:v>
                </c:pt>
                <c:pt idx="3" formatCode="General">
                  <c:v>492</c:v>
                </c:pt>
              </c:numCache>
            </c:numRef>
          </c:val>
        </c:ser>
        <c:dLbls>
          <c:showLegendKey val="0"/>
          <c:showVal val="1"/>
          <c:showCatName val="0"/>
          <c:showSerName val="0"/>
          <c:showPercent val="0"/>
          <c:showBubbleSize val="0"/>
        </c:dLbls>
        <c:gapWidth val="75"/>
        <c:axId val="594570528"/>
        <c:axId val="594570920"/>
      </c:barChart>
      <c:barChart>
        <c:barDir val="col"/>
        <c:grouping val="clustered"/>
        <c:varyColors val="0"/>
        <c:ser>
          <c:idx val="2"/>
          <c:order val="2"/>
          <c:tx>
            <c:strRef>
              <c:f>Formulas!$AT$45</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Formulas!$AP$46:$AP$49</c:f>
              <c:strCache>
                <c:ptCount val="4"/>
                <c:pt idx="0">
                  <c:v>ES</c:v>
                </c:pt>
                <c:pt idx="1">
                  <c:v>TH</c:v>
                </c:pt>
                <c:pt idx="2">
                  <c:v>RR</c:v>
                </c:pt>
                <c:pt idx="3">
                  <c:v>All Programs</c:v>
                </c:pt>
              </c:strCache>
            </c:strRef>
          </c:cat>
          <c:val>
            <c:numRef>
              <c:f>Formulas!$AT$46:$AT$49</c:f>
              <c:numCache>
                <c:formatCode>0</c:formatCode>
                <c:ptCount val="4"/>
                <c:pt idx="0">
                  <c:v>122</c:v>
                </c:pt>
                <c:pt idx="1">
                  <c:v>144</c:v>
                </c:pt>
                <c:pt idx="2">
                  <c:v>226</c:v>
                </c:pt>
                <c:pt idx="3">
                  <c:v>492</c:v>
                </c:pt>
              </c:numCache>
            </c:numRef>
          </c:val>
        </c:ser>
        <c:ser>
          <c:idx val="3"/>
          <c:order val="3"/>
          <c:tx>
            <c:strRef>
              <c:f>Formulas!$AU$45</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Formulas!$AP$46:$AP$49</c:f>
              <c:strCache>
                <c:ptCount val="4"/>
                <c:pt idx="0">
                  <c:v>ES</c:v>
                </c:pt>
                <c:pt idx="1">
                  <c:v>TH</c:v>
                </c:pt>
                <c:pt idx="2">
                  <c:v>RR</c:v>
                </c:pt>
                <c:pt idx="3">
                  <c:v>All Programs</c:v>
                </c:pt>
              </c:strCache>
            </c:strRef>
          </c:cat>
          <c:val>
            <c:numRef>
              <c:f>Formulas!$AU$46:$AU$49</c:f>
              <c:numCache>
                <c:formatCode>0</c:formatCode>
                <c:ptCount val="4"/>
                <c:pt idx="0">
                  <c:v>122</c:v>
                </c:pt>
                <c:pt idx="1">
                  <c:v>143.99999999999997</c:v>
                </c:pt>
                <c:pt idx="2">
                  <c:v>226</c:v>
                </c:pt>
                <c:pt idx="3">
                  <c:v>492</c:v>
                </c:pt>
              </c:numCache>
            </c:numRef>
          </c:val>
        </c:ser>
        <c:dLbls>
          <c:showLegendKey val="0"/>
          <c:showVal val="0"/>
          <c:showCatName val="0"/>
          <c:showSerName val="0"/>
          <c:showPercent val="0"/>
          <c:showBubbleSize val="0"/>
        </c:dLbls>
        <c:gapWidth val="75"/>
        <c:axId val="594564648"/>
        <c:axId val="594570136"/>
      </c:barChart>
      <c:catAx>
        <c:axId val="594570528"/>
        <c:scaling>
          <c:orientation val="minMax"/>
        </c:scaling>
        <c:delete val="0"/>
        <c:axPos val="b"/>
        <c:numFmt formatCode="General" sourceLinked="0"/>
        <c:majorTickMark val="none"/>
        <c:minorTickMark val="none"/>
        <c:tickLblPos val="nextTo"/>
        <c:crossAx val="594570920"/>
        <c:crosses val="autoZero"/>
        <c:auto val="1"/>
        <c:lblAlgn val="ctr"/>
        <c:lblOffset val="100"/>
        <c:noMultiLvlLbl val="0"/>
      </c:catAx>
      <c:valAx>
        <c:axId val="594570920"/>
        <c:scaling>
          <c:orientation val="minMax"/>
        </c:scaling>
        <c:delete val="0"/>
        <c:axPos val="l"/>
        <c:majorGridlines/>
        <c:numFmt formatCode="#,##0" sourceLinked="1"/>
        <c:majorTickMark val="none"/>
        <c:minorTickMark val="none"/>
        <c:tickLblPos val="nextTo"/>
        <c:crossAx val="594570528"/>
        <c:crosses val="autoZero"/>
        <c:crossBetween val="between"/>
      </c:valAx>
      <c:valAx>
        <c:axId val="594570136"/>
        <c:scaling>
          <c:orientation val="minMax"/>
        </c:scaling>
        <c:delete val="1"/>
        <c:axPos val="r"/>
        <c:numFmt formatCode="0" sourceLinked="1"/>
        <c:majorTickMark val="out"/>
        <c:minorTickMark val="none"/>
        <c:tickLblPos val="none"/>
        <c:crossAx val="594564648"/>
        <c:crosses val="max"/>
        <c:crossBetween val="between"/>
      </c:valAx>
      <c:catAx>
        <c:axId val="594564648"/>
        <c:scaling>
          <c:orientation val="minMax"/>
        </c:scaling>
        <c:delete val="1"/>
        <c:axPos val="b"/>
        <c:numFmt formatCode="General" sourceLinked="1"/>
        <c:majorTickMark val="out"/>
        <c:minorTickMark val="none"/>
        <c:tickLblPos val="none"/>
        <c:crossAx val="59457013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3971933508311461"/>
          <c:y val="0.91628280839894949"/>
          <c:w val="0.23894663167104338"/>
          <c:h val="8.3717191601050026E-2"/>
        </c:manualLayout>
      </c:layout>
      <c:overlay val="0"/>
    </c:legend>
    <c:plotVisOnly val="1"/>
    <c:dispBlanksAs val="gap"/>
    <c:showDLblsOverMax val="0"/>
  </c:chart>
  <c:spPr>
    <a:solidFill>
      <a:srgbClr val="FFFF99">
        <a:alpha val="50000"/>
      </a:srgbClr>
    </a:solidFill>
  </c:spPr>
  <c:printSettings>
    <c:headerFooter/>
    <c:pageMargins b="0.75000000000000566" l="0.70000000000000062" r="0.70000000000000062" t="0.750000000000005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Formulas!$AO$60</c:f>
          <c:strCache>
            <c:ptCount val="1"/>
            <c:pt idx="0">
              <c:v>15C. Permanent Housing Exits that "Stick"
All Households</c:v>
            </c:pt>
          </c:strCache>
        </c:strRef>
      </c:tx>
      <c:layout>
        <c:manualLayout>
          <c:xMode val="edge"/>
          <c:yMode val="edge"/>
          <c:x val="4.4735543658017034E-3"/>
          <c:y val="9.2820053036907647E-3"/>
        </c:manualLayout>
      </c:layout>
      <c:overlay val="0"/>
      <c:txPr>
        <a:bodyPr/>
        <a:lstStyle/>
        <a:p>
          <a:pPr algn="l">
            <a:defRPr sz="1200"/>
          </a:pPr>
          <a:endParaRPr lang="en-US"/>
        </a:p>
      </c:txPr>
    </c:title>
    <c:autoTitleDeleted val="0"/>
    <c:plotArea>
      <c:layout>
        <c:manualLayout>
          <c:layoutTarget val="inner"/>
          <c:xMode val="edge"/>
          <c:yMode val="edge"/>
          <c:x val="0.10708573928259071"/>
          <c:y val="0.19480351414406533"/>
          <c:w val="0.86235870516185453"/>
          <c:h val="0.64253645377661128"/>
        </c:manualLayout>
      </c:layout>
      <c:barChart>
        <c:barDir val="col"/>
        <c:grouping val="clustered"/>
        <c:varyColors val="0"/>
        <c:ser>
          <c:idx val="0"/>
          <c:order val="0"/>
          <c:tx>
            <c:strRef>
              <c:f>Formulas!$AQ$59</c:f>
              <c:strCache>
                <c:ptCount val="1"/>
                <c:pt idx="0">
                  <c:v>Current</c:v>
                </c:pt>
              </c:strCache>
            </c:strRef>
          </c:tx>
          <c:invertIfNegative val="0"/>
          <c:dLbls>
            <c:delete val="1"/>
          </c:dLbls>
          <c:cat>
            <c:strRef>
              <c:f>Formulas!$AP$60:$AP$63</c:f>
              <c:strCache>
                <c:ptCount val="4"/>
                <c:pt idx="0">
                  <c:v>ES</c:v>
                </c:pt>
                <c:pt idx="1">
                  <c:v>TH</c:v>
                </c:pt>
                <c:pt idx="2">
                  <c:v>RR</c:v>
                </c:pt>
                <c:pt idx="3">
                  <c:v>All Programs</c:v>
                </c:pt>
              </c:strCache>
            </c:strRef>
          </c:cat>
          <c:val>
            <c:numRef>
              <c:f>Formulas!$AQ$60:$AQ$63</c:f>
              <c:numCache>
                <c:formatCode>#,##0</c:formatCode>
                <c:ptCount val="4"/>
                <c:pt idx="0">
                  <c:v>348</c:v>
                </c:pt>
                <c:pt idx="1">
                  <c:v>235</c:v>
                </c:pt>
                <c:pt idx="2">
                  <c:v>328</c:v>
                </c:pt>
                <c:pt idx="3" formatCode="General">
                  <c:v>911</c:v>
                </c:pt>
              </c:numCache>
            </c:numRef>
          </c:val>
        </c:ser>
        <c:ser>
          <c:idx val="1"/>
          <c:order val="1"/>
          <c:tx>
            <c:strRef>
              <c:f>Formulas!$AR$59</c:f>
              <c:strCache>
                <c:ptCount val="1"/>
                <c:pt idx="0">
                  <c:v>New</c:v>
                </c:pt>
              </c:strCache>
            </c:strRef>
          </c:tx>
          <c:invertIfNegative val="0"/>
          <c:dLbls>
            <c:dLbl>
              <c:idx val="0"/>
              <c:tx>
                <c:strRef>
                  <c:f>Formulas!$AS$60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{CDAEDDE1-3F87-45A3-9653-719540C2F462}</c15:txfldGUID>
                      <c15:f>Formulas!$AS$60</c15:f>
                      <c15:dlblFieldTableCache>
                        <c:ptCount val="1"/>
                      </c15:dlblFieldTableCache>
                    </c15:dlblFTEntry>
                  </c15:dlblFieldTable>
                  <c15:showDataLabelsRange val="0"/>
                </c:ext>
              </c:extLst>
            </c:dLbl>
            <c:dLbl>
              <c:idx val="1"/>
              <c:tx>
                <c:strRef>
                  <c:f>Formulas!$AS$61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{0C5A7161-0D55-44BB-ACEF-D9EF90F4A994}</c15:txfldGUID>
                      <c15:f>Formulas!$AS$61</c15:f>
                      <c15:dlblFieldTableCache>
                        <c:ptCount val="1"/>
                      </c15:dlblFieldTableCache>
                    </c15:dlblFTEntry>
                  </c15:dlblFieldTable>
                  <c15:showDataLabelsRange val="0"/>
                </c:ext>
              </c:extLst>
            </c:dLbl>
            <c:dLbl>
              <c:idx val="2"/>
              <c:tx>
                <c:strRef>
                  <c:f>Formulas!$AS$62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{7FA5F489-9D0B-47FE-A1EF-ACC809E0E9FB}</c15:txfldGUID>
                      <c15:f>Formulas!$AS$62</c15:f>
                      <c15:dlblFieldTableCache>
                        <c:ptCount val="1"/>
                      </c15:dlblFieldTableCache>
                    </c15:dlblFTEntry>
                  </c15:dlblFieldTable>
                  <c15:showDataLabelsRange val="0"/>
                </c:ext>
              </c:extLst>
            </c:dLbl>
            <c:dLbl>
              <c:idx val="3"/>
              <c:tx>
                <c:strRef>
                  <c:f>Formulas!$AS$63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{A15F5145-7636-48EA-AA4E-3B1BF2C3FD65}</c15:txfldGUID>
                      <c15:f>Formulas!$AS$63</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Formulas!$AP$60:$AP$63</c:f>
              <c:strCache>
                <c:ptCount val="4"/>
                <c:pt idx="0">
                  <c:v>ES</c:v>
                </c:pt>
                <c:pt idx="1">
                  <c:v>TH</c:v>
                </c:pt>
                <c:pt idx="2">
                  <c:v>RR</c:v>
                </c:pt>
                <c:pt idx="3">
                  <c:v>All Programs</c:v>
                </c:pt>
              </c:strCache>
            </c:strRef>
          </c:cat>
          <c:val>
            <c:numRef>
              <c:f>Formulas!$AR$60:$AR$63</c:f>
              <c:numCache>
                <c:formatCode>0</c:formatCode>
                <c:ptCount val="4"/>
                <c:pt idx="0">
                  <c:v>348</c:v>
                </c:pt>
                <c:pt idx="1">
                  <c:v>234.99999999999997</c:v>
                </c:pt>
                <c:pt idx="2">
                  <c:v>328</c:v>
                </c:pt>
                <c:pt idx="3" formatCode="General">
                  <c:v>911</c:v>
                </c:pt>
              </c:numCache>
            </c:numRef>
          </c:val>
        </c:ser>
        <c:dLbls>
          <c:showLegendKey val="0"/>
          <c:showVal val="1"/>
          <c:showCatName val="0"/>
          <c:showSerName val="0"/>
          <c:showPercent val="0"/>
          <c:showBubbleSize val="0"/>
        </c:dLbls>
        <c:gapWidth val="75"/>
        <c:axId val="594563864"/>
        <c:axId val="594566216"/>
      </c:barChart>
      <c:barChart>
        <c:barDir val="col"/>
        <c:grouping val="clustered"/>
        <c:varyColors val="0"/>
        <c:ser>
          <c:idx val="2"/>
          <c:order val="2"/>
          <c:tx>
            <c:strRef>
              <c:f>Formulas!$AT$59</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Formulas!$AP$60:$AP$63</c:f>
              <c:strCache>
                <c:ptCount val="4"/>
                <c:pt idx="0">
                  <c:v>ES</c:v>
                </c:pt>
                <c:pt idx="1">
                  <c:v>TH</c:v>
                </c:pt>
                <c:pt idx="2">
                  <c:v>RR</c:v>
                </c:pt>
                <c:pt idx="3">
                  <c:v>All Programs</c:v>
                </c:pt>
              </c:strCache>
            </c:strRef>
          </c:cat>
          <c:val>
            <c:numRef>
              <c:f>Formulas!$AT$60:$AT$63</c:f>
              <c:numCache>
                <c:formatCode>0</c:formatCode>
                <c:ptCount val="4"/>
                <c:pt idx="0">
                  <c:v>348</c:v>
                </c:pt>
                <c:pt idx="1">
                  <c:v>235</c:v>
                </c:pt>
                <c:pt idx="2">
                  <c:v>328</c:v>
                </c:pt>
                <c:pt idx="3">
                  <c:v>911</c:v>
                </c:pt>
              </c:numCache>
            </c:numRef>
          </c:val>
        </c:ser>
        <c:ser>
          <c:idx val="3"/>
          <c:order val="3"/>
          <c:tx>
            <c:strRef>
              <c:f>Formulas!$AU$59</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Formulas!$AP$60:$AP$63</c:f>
              <c:strCache>
                <c:ptCount val="4"/>
                <c:pt idx="0">
                  <c:v>ES</c:v>
                </c:pt>
                <c:pt idx="1">
                  <c:v>TH</c:v>
                </c:pt>
                <c:pt idx="2">
                  <c:v>RR</c:v>
                </c:pt>
                <c:pt idx="3">
                  <c:v>All Programs</c:v>
                </c:pt>
              </c:strCache>
            </c:strRef>
          </c:cat>
          <c:val>
            <c:numRef>
              <c:f>Formulas!$AU$60:$AU$63</c:f>
              <c:numCache>
                <c:formatCode>0</c:formatCode>
                <c:ptCount val="4"/>
                <c:pt idx="0">
                  <c:v>348</c:v>
                </c:pt>
                <c:pt idx="1">
                  <c:v>234.99999999999997</c:v>
                </c:pt>
                <c:pt idx="2">
                  <c:v>328</c:v>
                </c:pt>
                <c:pt idx="3">
                  <c:v>911</c:v>
                </c:pt>
              </c:numCache>
            </c:numRef>
          </c:val>
        </c:ser>
        <c:dLbls>
          <c:showLegendKey val="0"/>
          <c:showVal val="0"/>
          <c:showCatName val="0"/>
          <c:showSerName val="0"/>
          <c:showPercent val="0"/>
          <c:showBubbleSize val="0"/>
        </c:dLbls>
        <c:gapWidth val="75"/>
        <c:axId val="598782608"/>
        <c:axId val="598787312"/>
      </c:barChart>
      <c:catAx>
        <c:axId val="594563864"/>
        <c:scaling>
          <c:orientation val="minMax"/>
        </c:scaling>
        <c:delete val="0"/>
        <c:axPos val="b"/>
        <c:numFmt formatCode="General" sourceLinked="0"/>
        <c:majorTickMark val="none"/>
        <c:minorTickMark val="none"/>
        <c:tickLblPos val="nextTo"/>
        <c:crossAx val="594566216"/>
        <c:crosses val="autoZero"/>
        <c:auto val="1"/>
        <c:lblAlgn val="ctr"/>
        <c:lblOffset val="100"/>
        <c:noMultiLvlLbl val="0"/>
      </c:catAx>
      <c:valAx>
        <c:axId val="594566216"/>
        <c:scaling>
          <c:orientation val="minMax"/>
        </c:scaling>
        <c:delete val="0"/>
        <c:axPos val="l"/>
        <c:majorGridlines/>
        <c:numFmt formatCode="#,##0" sourceLinked="1"/>
        <c:majorTickMark val="none"/>
        <c:minorTickMark val="none"/>
        <c:tickLblPos val="nextTo"/>
        <c:crossAx val="594563864"/>
        <c:crosses val="autoZero"/>
        <c:crossBetween val="between"/>
      </c:valAx>
      <c:valAx>
        <c:axId val="598787312"/>
        <c:scaling>
          <c:orientation val="minMax"/>
        </c:scaling>
        <c:delete val="1"/>
        <c:axPos val="r"/>
        <c:numFmt formatCode="0" sourceLinked="1"/>
        <c:majorTickMark val="out"/>
        <c:minorTickMark val="none"/>
        <c:tickLblPos val="none"/>
        <c:crossAx val="598782608"/>
        <c:crosses val="max"/>
        <c:crossBetween val="between"/>
      </c:valAx>
      <c:catAx>
        <c:axId val="598782608"/>
        <c:scaling>
          <c:orientation val="minMax"/>
        </c:scaling>
        <c:delete val="1"/>
        <c:axPos val="b"/>
        <c:numFmt formatCode="General" sourceLinked="1"/>
        <c:majorTickMark val="out"/>
        <c:minorTickMark val="none"/>
        <c:tickLblPos val="none"/>
        <c:crossAx val="598787312"/>
        <c:crosses val="autoZero"/>
        <c:auto val="1"/>
        <c:lblAlgn val="ctr"/>
        <c:lblOffset val="100"/>
        <c:noMultiLvlLbl val="0"/>
      </c:catAx>
      <c:spPr>
        <a:solidFill>
          <a:sysClr val="window" lastClr="FFFFFF">
            <a:lumMod val="95000"/>
          </a:sysClr>
        </a:solidFill>
      </c:spPr>
    </c:plotArea>
    <c:legend>
      <c:legendPos val="b"/>
      <c:legendEntry>
        <c:idx val="0"/>
        <c:delete val="1"/>
      </c:legendEntry>
      <c:legendEntry>
        <c:idx val="1"/>
        <c:delete val="1"/>
      </c:legendEntry>
      <c:layout>
        <c:manualLayout>
          <c:xMode val="edge"/>
          <c:yMode val="edge"/>
          <c:x val="0.38608223972003847"/>
          <c:y val="0.91628280839894949"/>
          <c:w val="0.23894663167104338"/>
          <c:h val="8.3717191601050026E-2"/>
        </c:manualLayout>
      </c:layout>
      <c:overlay val="0"/>
    </c:legend>
    <c:plotVisOnly val="1"/>
    <c:dispBlanksAs val="gap"/>
    <c:showDLblsOverMax val="0"/>
  </c:chart>
  <c:spPr>
    <a:solidFill>
      <a:schemeClr val="bg1">
        <a:lumMod val="95000"/>
        <a:alpha val="50000"/>
      </a:schemeClr>
    </a:solidFill>
  </c:spPr>
  <c:printSettings>
    <c:headerFooter/>
    <c:pageMargins b="0.75000000000000566" l="0.70000000000000062" r="0.70000000000000062" t="0.750000000000005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Formulas!$BD$42</c:f>
          <c:strCache>
            <c:ptCount val="1"/>
            <c:pt idx="0">
              <c:v>16B. Change in Permanent Housing Exits
Family Households</c:v>
            </c:pt>
          </c:strCache>
        </c:strRef>
      </c:tx>
      <c:layout>
        <c:manualLayout>
          <c:xMode val="edge"/>
          <c:yMode val="edge"/>
          <c:x val="3.6915768691853173E-3"/>
          <c:y val="4.6258506374749955E-3"/>
        </c:manualLayout>
      </c:layout>
      <c:overlay val="0"/>
      <c:txPr>
        <a:bodyPr/>
        <a:lstStyle/>
        <a:p>
          <a:pPr algn="l">
            <a:defRPr sz="1200"/>
          </a:pPr>
          <a:endParaRPr lang="en-US"/>
        </a:p>
      </c:txPr>
    </c:title>
    <c:autoTitleDeleted val="0"/>
    <c:plotArea>
      <c:layout>
        <c:manualLayout>
          <c:layoutTarget val="inner"/>
          <c:xMode val="edge"/>
          <c:yMode val="edge"/>
          <c:x val="0.1070857392825907"/>
          <c:y val="0.19464450337850867"/>
          <c:w val="0.86235870516185453"/>
          <c:h val="0.6520799390699038"/>
        </c:manualLayout>
      </c:layout>
      <c:barChart>
        <c:barDir val="col"/>
        <c:grouping val="clustered"/>
        <c:varyColors val="0"/>
        <c:ser>
          <c:idx val="2"/>
          <c:order val="2"/>
          <c:tx>
            <c:strRef>
              <c:f>Formulas!$BI$41</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Formulas!$BE$42:$BE$45</c:f>
              <c:strCache>
                <c:ptCount val="4"/>
                <c:pt idx="0">
                  <c:v>ES</c:v>
                </c:pt>
                <c:pt idx="1">
                  <c:v>TH</c:v>
                </c:pt>
                <c:pt idx="2">
                  <c:v>RR</c:v>
                </c:pt>
                <c:pt idx="3">
                  <c:v>All Programs</c:v>
                </c:pt>
              </c:strCache>
            </c:strRef>
          </c:cat>
          <c:val>
            <c:numRef>
              <c:f>Formulas!$BI$42:$BI$45</c:f>
              <c:numCache>
                <c:formatCode>#,##0</c:formatCode>
                <c:ptCount val="4"/>
                <c:pt idx="0">
                  <c:v>137</c:v>
                </c:pt>
                <c:pt idx="1">
                  <c:v>158</c:v>
                </c:pt>
                <c:pt idx="2">
                  <c:v>235</c:v>
                </c:pt>
                <c:pt idx="3">
                  <c:v>530</c:v>
                </c:pt>
              </c:numCache>
            </c:numRef>
          </c:val>
        </c:ser>
        <c:ser>
          <c:idx val="3"/>
          <c:order val="3"/>
          <c:tx>
            <c:strRef>
              <c:f>Formulas!$BJ$41</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Formulas!$BE$42:$BE$45</c:f>
              <c:strCache>
                <c:ptCount val="4"/>
                <c:pt idx="0">
                  <c:v>ES</c:v>
                </c:pt>
                <c:pt idx="1">
                  <c:v>TH</c:v>
                </c:pt>
                <c:pt idx="2">
                  <c:v>RR</c:v>
                </c:pt>
                <c:pt idx="3">
                  <c:v>All Programs</c:v>
                </c:pt>
              </c:strCache>
            </c:strRef>
          </c:cat>
          <c:val>
            <c:numRef>
              <c:f>Formulas!$BJ$42:$BJ$45</c:f>
              <c:numCache>
                <c:formatCode>#,##0</c:formatCode>
                <c:ptCount val="4"/>
                <c:pt idx="0">
                  <c:v>136.99999999999997</c:v>
                </c:pt>
                <c:pt idx="1">
                  <c:v>158.00000000000003</c:v>
                </c:pt>
                <c:pt idx="2">
                  <c:v>235</c:v>
                </c:pt>
                <c:pt idx="3">
                  <c:v>530</c:v>
                </c:pt>
              </c:numCache>
            </c:numRef>
          </c:val>
        </c:ser>
        <c:dLbls>
          <c:showLegendKey val="0"/>
          <c:showVal val="1"/>
          <c:showCatName val="0"/>
          <c:showSerName val="0"/>
          <c:showPercent val="0"/>
          <c:showBubbleSize val="0"/>
        </c:dLbls>
        <c:gapWidth val="75"/>
        <c:axId val="598788488"/>
        <c:axId val="598776728"/>
      </c:barChart>
      <c:barChart>
        <c:barDir val="col"/>
        <c:grouping val="clustered"/>
        <c:varyColors val="0"/>
        <c:ser>
          <c:idx val="0"/>
          <c:order val="0"/>
          <c:tx>
            <c:strRef>
              <c:f>Formulas!$BF$41</c:f>
              <c:strCache>
                <c:ptCount val="1"/>
                <c:pt idx="0">
                  <c:v>Current PH Exits</c:v>
                </c:pt>
              </c:strCache>
            </c:strRef>
          </c:tx>
          <c:invertIfNegative val="0"/>
          <c:cat>
            <c:strRef>
              <c:f>Formulas!$BE$42:$BE$45</c:f>
              <c:strCache>
                <c:ptCount val="4"/>
                <c:pt idx="0">
                  <c:v>ES</c:v>
                </c:pt>
                <c:pt idx="1">
                  <c:v>TH</c:v>
                </c:pt>
                <c:pt idx="2">
                  <c:v>RR</c:v>
                </c:pt>
                <c:pt idx="3">
                  <c:v>All Programs</c:v>
                </c:pt>
              </c:strCache>
            </c:strRef>
          </c:cat>
          <c:val>
            <c:numRef>
              <c:f>Formulas!$BF$42:$BF$45</c:f>
              <c:numCache>
                <c:formatCode>#,##0</c:formatCode>
                <c:ptCount val="4"/>
                <c:pt idx="0">
                  <c:v>137</c:v>
                </c:pt>
                <c:pt idx="1">
                  <c:v>158</c:v>
                </c:pt>
                <c:pt idx="2">
                  <c:v>235</c:v>
                </c:pt>
                <c:pt idx="3">
                  <c:v>530</c:v>
                </c:pt>
              </c:numCache>
            </c:numRef>
          </c:val>
        </c:ser>
        <c:ser>
          <c:idx val="1"/>
          <c:order val="1"/>
          <c:tx>
            <c:strRef>
              <c:f>Formulas!$BG$41</c:f>
              <c:strCache>
                <c:ptCount val="1"/>
                <c:pt idx="0">
                  <c:v>New PH Exits</c:v>
                </c:pt>
              </c:strCache>
            </c:strRef>
          </c:tx>
          <c:invertIfNegative val="0"/>
          <c:dLbls>
            <c:dLbl>
              <c:idx val="0"/>
              <c:tx>
                <c:strRef>
                  <c:f>Formulas!$BH$42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{08E98A0F-780E-4130-8EC0-9353DF47D98F}</c15:txfldGUID>
                      <c15:f>Formulas!$BH$42</c15:f>
                      <c15:dlblFieldTableCache>
                        <c:ptCount val="1"/>
                      </c15:dlblFieldTableCache>
                    </c15:dlblFTEntry>
                  </c15:dlblFieldTable>
                  <c15:showDataLabelsRange val="0"/>
                </c:ext>
              </c:extLst>
            </c:dLbl>
            <c:dLbl>
              <c:idx val="1"/>
              <c:tx>
                <c:strRef>
                  <c:f>Formulas!$BH$43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{7F41331D-0269-4F32-9792-3FC1EF31BED4}</c15:txfldGUID>
                      <c15:f>Formulas!$BH$43</c15:f>
                      <c15:dlblFieldTableCache>
                        <c:ptCount val="1"/>
                      </c15:dlblFieldTableCache>
                    </c15:dlblFTEntry>
                  </c15:dlblFieldTable>
                  <c15:showDataLabelsRange val="0"/>
                </c:ext>
              </c:extLst>
            </c:dLbl>
            <c:dLbl>
              <c:idx val="2"/>
              <c:tx>
                <c:strRef>
                  <c:f>Formulas!$BH$44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{296F6F34-FB43-41D5-83C5-C8713CC3D917}</c15:txfldGUID>
                      <c15:f>Formulas!$BH$44</c15:f>
                      <c15:dlblFieldTableCache>
                        <c:ptCount val="1"/>
                      </c15:dlblFieldTableCache>
                    </c15:dlblFTEntry>
                  </c15:dlblFieldTable>
                  <c15:showDataLabelsRange val="0"/>
                </c:ext>
              </c:extLst>
            </c:dLbl>
            <c:dLbl>
              <c:idx val="3"/>
              <c:tx>
                <c:strRef>
                  <c:f>Formulas!$BH$45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{62022D89-8A25-4804-A5D4-4F07C6D13353}</c15:txfldGUID>
                      <c15:f>Formulas!$BH$45</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Formulas!$BE$42:$BE$45</c:f>
              <c:strCache>
                <c:ptCount val="4"/>
                <c:pt idx="0">
                  <c:v>ES</c:v>
                </c:pt>
                <c:pt idx="1">
                  <c:v>TH</c:v>
                </c:pt>
                <c:pt idx="2">
                  <c:v>RR</c:v>
                </c:pt>
                <c:pt idx="3">
                  <c:v>All Programs</c:v>
                </c:pt>
              </c:strCache>
            </c:strRef>
          </c:cat>
          <c:val>
            <c:numRef>
              <c:f>Formulas!$BG$42:$BG$45</c:f>
              <c:numCache>
                <c:formatCode>#,##0</c:formatCode>
                <c:ptCount val="4"/>
                <c:pt idx="0">
                  <c:v>136.99999999999997</c:v>
                </c:pt>
                <c:pt idx="1">
                  <c:v>158.00000000000003</c:v>
                </c:pt>
                <c:pt idx="2">
                  <c:v>235</c:v>
                </c:pt>
                <c:pt idx="3">
                  <c:v>530</c:v>
                </c:pt>
              </c:numCache>
            </c:numRef>
          </c:val>
        </c:ser>
        <c:dLbls>
          <c:showLegendKey val="0"/>
          <c:showVal val="0"/>
          <c:showCatName val="0"/>
          <c:showSerName val="0"/>
          <c:showPercent val="0"/>
          <c:showBubbleSize val="0"/>
        </c:dLbls>
        <c:gapWidth val="75"/>
        <c:axId val="598787704"/>
        <c:axId val="598783392"/>
      </c:barChart>
      <c:catAx>
        <c:axId val="598788488"/>
        <c:scaling>
          <c:orientation val="minMax"/>
        </c:scaling>
        <c:delete val="0"/>
        <c:axPos val="b"/>
        <c:numFmt formatCode="General" sourceLinked="0"/>
        <c:majorTickMark val="none"/>
        <c:minorTickMark val="none"/>
        <c:tickLblPos val="nextTo"/>
        <c:crossAx val="598776728"/>
        <c:crosses val="autoZero"/>
        <c:auto val="1"/>
        <c:lblAlgn val="ctr"/>
        <c:lblOffset val="100"/>
        <c:noMultiLvlLbl val="0"/>
      </c:catAx>
      <c:valAx>
        <c:axId val="598776728"/>
        <c:scaling>
          <c:orientation val="minMax"/>
        </c:scaling>
        <c:delete val="0"/>
        <c:axPos val="l"/>
        <c:majorGridlines/>
        <c:numFmt formatCode="#,##0" sourceLinked="1"/>
        <c:majorTickMark val="none"/>
        <c:minorTickMark val="none"/>
        <c:tickLblPos val="nextTo"/>
        <c:crossAx val="598788488"/>
        <c:crosses val="autoZero"/>
        <c:crossBetween val="between"/>
      </c:valAx>
      <c:valAx>
        <c:axId val="598783392"/>
        <c:scaling>
          <c:orientation val="minMax"/>
        </c:scaling>
        <c:delete val="1"/>
        <c:axPos val="r"/>
        <c:numFmt formatCode="#,##0" sourceLinked="1"/>
        <c:majorTickMark val="out"/>
        <c:minorTickMark val="none"/>
        <c:tickLblPos val="none"/>
        <c:crossAx val="598787704"/>
        <c:crosses val="max"/>
        <c:crossBetween val="between"/>
      </c:valAx>
      <c:catAx>
        <c:axId val="598787704"/>
        <c:scaling>
          <c:orientation val="minMax"/>
        </c:scaling>
        <c:delete val="1"/>
        <c:axPos val="b"/>
        <c:numFmt formatCode="General" sourceLinked="1"/>
        <c:majorTickMark val="out"/>
        <c:minorTickMark val="none"/>
        <c:tickLblPos val="none"/>
        <c:crossAx val="59878339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3.3642837801957492E-3"/>
          <c:y val="0.91635114358676806"/>
          <c:w val="0.47018000874890636"/>
          <c:h val="8.3648856413233247E-2"/>
        </c:manualLayout>
      </c:layout>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Formulas!$BD$58</c:f>
          <c:strCache>
            <c:ptCount val="1"/>
            <c:pt idx="0">
              <c:v>16C. Change in Permanent Housing Exits
All Households</c:v>
            </c:pt>
          </c:strCache>
        </c:strRef>
      </c:tx>
      <c:layout>
        <c:manualLayout>
          <c:xMode val="edge"/>
          <c:yMode val="edge"/>
          <c:x val="4.3742042221246924E-3"/>
          <c:y val="9.2517012749500048E-3"/>
        </c:manualLayout>
      </c:layout>
      <c:overlay val="0"/>
      <c:txPr>
        <a:bodyPr/>
        <a:lstStyle/>
        <a:p>
          <a:pPr algn="l">
            <a:defRPr sz="1200"/>
          </a:pPr>
          <a:endParaRPr lang="en-US"/>
        </a:p>
      </c:txPr>
    </c:title>
    <c:autoTitleDeleted val="0"/>
    <c:plotArea>
      <c:layout>
        <c:manualLayout>
          <c:layoutTarget val="inner"/>
          <c:xMode val="edge"/>
          <c:yMode val="edge"/>
          <c:x val="0.1070857392825907"/>
          <c:y val="0.19980214471919094"/>
          <c:w val="0.86235870516185453"/>
          <c:h val="0.6330447458167926"/>
        </c:manualLayout>
      </c:layout>
      <c:barChart>
        <c:barDir val="col"/>
        <c:grouping val="clustered"/>
        <c:varyColors val="0"/>
        <c:ser>
          <c:idx val="2"/>
          <c:order val="2"/>
          <c:tx>
            <c:strRef>
              <c:f>Formulas!$BI$57</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Formulas!$BE$58:$BE$61</c:f>
              <c:strCache>
                <c:ptCount val="4"/>
                <c:pt idx="0">
                  <c:v>ES</c:v>
                </c:pt>
                <c:pt idx="1">
                  <c:v>TH</c:v>
                </c:pt>
                <c:pt idx="2">
                  <c:v>RR</c:v>
                </c:pt>
                <c:pt idx="3">
                  <c:v>All Programs</c:v>
                </c:pt>
              </c:strCache>
            </c:strRef>
          </c:cat>
          <c:val>
            <c:numRef>
              <c:f>Formulas!$BI$58:$BI$61</c:f>
              <c:numCache>
                <c:formatCode>#,##0</c:formatCode>
                <c:ptCount val="4"/>
                <c:pt idx="0">
                  <c:v>402</c:v>
                </c:pt>
                <c:pt idx="1">
                  <c:v>256</c:v>
                </c:pt>
                <c:pt idx="2">
                  <c:v>347</c:v>
                </c:pt>
                <c:pt idx="3">
                  <c:v>1005</c:v>
                </c:pt>
              </c:numCache>
            </c:numRef>
          </c:val>
        </c:ser>
        <c:ser>
          <c:idx val="3"/>
          <c:order val="3"/>
          <c:tx>
            <c:strRef>
              <c:f>Formulas!$BJ$57</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Formulas!$BE$58:$BE$61</c:f>
              <c:strCache>
                <c:ptCount val="4"/>
                <c:pt idx="0">
                  <c:v>ES</c:v>
                </c:pt>
                <c:pt idx="1">
                  <c:v>TH</c:v>
                </c:pt>
                <c:pt idx="2">
                  <c:v>RR</c:v>
                </c:pt>
                <c:pt idx="3">
                  <c:v>All Programs</c:v>
                </c:pt>
              </c:strCache>
            </c:strRef>
          </c:cat>
          <c:val>
            <c:numRef>
              <c:f>Formulas!$BJ$58:$BJ$61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598788096"/>
        <c:axId val="598783784"/>
      </c:barChart>
      <c:barChart>
        <c:barDir val="col"/>
        <c:grouping val="clustered"/>
        <c:varyColors val="0"/>
        <c:ser>
          <c:idx val="0"/>
          <c:order val="0"/>
          <c:tx>
            <c:strRef>
              <c:f>Formulas!$BF$57</c:f>
              <c:strCache>
                <c:ptCount val="1"/>
                <c:pt idx="0">
                  <c:v>Current PH Exits</c:v>
                </c:pt>
              </c:strCache>
            </c:strRef>
          </c:tx>
          <c:invertIfNegative val="0"/>
          <c:cat>
            <c:strRef>
              <c:f>Formulas!$BE$58:$BE$61</c:f>
              <c:strCache>
                <c:ptCount val="4"/>
                <c:pt idx="0">
                  <c:v>ES</c:v>
                </c:pt>
                <c:pt idx="1">
                  <c:v>TH</c:v>
                </c:pt>
                <c:pt idx="2">
                  <c:v>RR</c:v>
                </c:pt>
                <c:pt idx="3">
                  <c:v>All Programs</c:v>
                </c:pt>
              </c:strCache>
            </c:strRef>
          </c:cat>
          <c:val>
            <c:numRef>
              <c:f>Formulas!$BF$58:$BF$61</c:f>
              <c:numCache>
                <c:formatCode>#,##0</c:formatCode>
                <c:ptCount val="4"/>
                <c:pt idx="0">
                  <c:v>402</c:v>
                </c:pt>
                <c:pt idx="1">
                  <c:v>256</c:v>
                </c:pt>
                <c:pt idx="2">
                  <c:v>347</c:v>
                </c:pt>
                <c:pt idx="3">
                  <c:v>1005</c:v>
                </c:pt>
              </c:numCache>
            </c:numRef>
          </c:val>
        </c:ser>
        <c:ser>
          <c:idx val="1"/>
          <c:order val="1"/>
          <c:tx>
            <c:strRef>
              <c:f>Formulas!$BG$57</c:f>
              <c:strCache>
                <c:ptCount val="1"/>
                <c:pt idx="0">
                  <c:v>New PH Exits</c:v>
                </c:pt>
              </c:strCache>
            </c:strRef>
          </c:tx>
          <c:invertIfNegative val="0"/>
          <c:dLbls>
            <c:dLbl>
              <c:idx val="0"/>
              <c:tx>
                <c:strRef>
                  <c:f>Formulas!$BH$58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{658AF370-BD02-4AE7-8E0E-C3AADC29A469}</c15:txfldGUID>
                      <c15:f>Formulas!$BH$58</c15:f>
                      <c15:dlblFieldTableCache>
                        <c:ptCount val="1"/>
                      </c15:dlblFieldTableCache>
                    </c15:dlblFTEntry>
                  </c15:dlblFieldTable>
                  <c15:showDataLabelsRange val="0"/>
                </c:ext>
              </c:extLst>
            </c:dLbl>
            <c:dLbl>
              <c:idx val="1"/>
              <c:tx>
                <c:strRef>
                  <c:f>Formulas!$BH$59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{51D41CCD-D0E5-4AB8-9644-EE75FB115F08}</c15:txfldGUID>
                      <c15:f>Formulas!$BH$59</c15:f>
                      <c15:dlblFieldTableCache>
                        <c:ptCount val="1"/>
                      </c15:dlblFieldTableCache>
                    </c15:dlblFTEntry>
                  </c15:dlblFieldTable>
                  <c15:showDataLabelsRange val="0"/>
                </c:ext>
              </c:extLst>
            </c:dLbl>
            <c:dLbl>
              <c:idx val="2"/>
              <c:tx>
                <c:strRef>
                  <c:f>Formulas!$BH$60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{2D1C3812-E0D1-4D30-AEAC-9F923E3BFEBB}</c15:txfldGUID>
                      <c15:f>Formulas!$BH$60</c15:f>
                      <c15:dlblFieldTableCache>
                        <c:ptCount val="1"/>
                      </c15:dlblFieldTableCache>
                    </c15:dlblFTEntry>
                  </c15:dlblFieldTable>
                  <c15:showDataLabelsRange val="0"/>
                </c:ext>
              </c:extLst>
            </c:dLbl>
            <c:dLbl>
              <c:idx val="3"/>
              <c:tx>
                <c:strRef>
                  <c:f>Formulas!$BH$61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{0B1A329F-3499-4CD6-BF38-2B5B4662FA8D}</c15:txfldGUID>
                      <c15:f>Formulas!$BH$61</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Formulas!$BE$58:$BE$61</c:f>
              <c:strCache>
                <c:ptCount val="4"/>
                <c:pt idx="0">
                  <c:v>ES</c:v>
                </c:pt>
                <c:pt idx="1">
                  <c:v>TH</c:v>
                </c:pt>
                <c:pt idx="2">
                  <c:v>RR</c:v>
                </c:pt>
                <c:pt idx="3">
                  <c:v>All Programs</c:v>
                </c:pt>
              </c:strCache>
            </c:strRef>
          </c:cat>
          <c:val>
            <c:numRef>
              <c:f>Formulas!$BG$58:$BG$61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598778296"/>
        <c:axId val="598781040"/>
      </c:barChart>
      <c:catAx>
        <c:axId val="598788096"/>
        <c:scaling>
          <c:orientation val="minMax"/>
        </c:scaling>
        <c:delete val="0"/>
        <c:axPos val="b"/>
        <c:numFmt formatCode="General" sourceLinked="0"/>
        <c:majorTickMark val="none"/>
        <c:minorTickMark val="none"/>
        <c:tickLblPos val="nextTo"/>
        <c:crossAx val="598783784"/>
        <c:crosses val="autoZero"/>
        <c:auto val="1"/>
        <c:lblAlgn val="ctr"/>
        <c:lblOffset val="100"/>
        <c:noMultiLvlLbl val="0"/>
      </c:catAx>
      <c:valAx>
        <c:axId val="598783784"/>
        <c:scaling>
          <c:orientation val="minMax"/>
        </c:scaling>
        <c:delete val="0"/>
        <c:axPos val="l"/>
        <c:majorGridlines/>
        <c:numFmt formatCode="#,##0" sourceLinked="1"/>
        <c:majorTickMark val="none"/>
        <c:minorTickMark val="none"/>
        <c:tickLblPos val="nextTo"/>
        <c:crossAx val="598788096"/>
        <c:crosses val="autoZero"/>
        <c:crossBetween val="between"/>
      </c:valAx>
      <c:valAx>
        <c:axId val="598781040"/>
        <c:scaling>
          <c:orientation val="minMax"/>
        </c:scaling>
        <c:delete val="1"/>
        <c:axPos val="r"/>
        <c:numFmt formatCode="#,##0" sourceLinked="1"/>
        <c:majorTickMark val="out"/>
        <c:minorTickMark val="none"/>
        <c:tickLblPos val="none"/>
        <c:crossAx val="598778296"/>
        <c:crosses val="max"/>
        <c:crossBetween val="between"/>
      </c:valAx>
      <c:catAx>
        <c:axId val="598778296"/>
        <c:scaling>
          <c:orientation val="minMax"/>
        </c:scaling>
        <c:delete val="1"/>
        <c:axPos val="b"/>
        <c:numFmt formatCode="General" sourceLinked="1"/>
        <c:majorTickMark val="out"/>
        <c:minorTickMark val="none"/>
        <c:tickLblPos val="none"/>
        <c:crossAx val="59878104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8.9464492424064582E-3"/>
          <c:y val="0.91635114358676806"/>
          <c:w val="0.47018000874890636"/>
          <c:h val="8.364885641323324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Formulas!$BD$32</c:f>
          <c:strCache>
            <c:ptCount val="1"/>
            <c:pt idx="0">
              <c:v>17A. Change in Average Cost per Permanent Housing Exit
Single Adults</c:v>
            </c:pt>
          </c:strCache>
        </c:strRef>
      </c:tx>
      <c:layout>
        <c:manualLayout>
          <c:xMode val="edge"/>
          <c:yMode val="edge"/>
          <c:x val="1.1545074973979791E-3"/>
          <c:y val="4.6258506374749955E-3"/>
        </c:manualLayout>
      </c:layout>
      <c:overlay val="0"/>
      <c:txPr>
        <a:bodyPr/>
        <a:lstStyle/>
        <a:p>
          <a:pPr algn="l">
            <a:defRPr sz="1100"/>
          </a:pPr>
          <a:endParaRPr lang="en-US"/>
        </a:p>
      </c:txPr>
    </c:title>
    <c:autoTitleDeleted val="0"/>
    <c:plotArea>
      <c:layout>
        <c:manualLayout>
          <c:layoutTarget val="inner"/>
          <c:xMode val="edge"/>
          <c:yMode val="edge"/>
          <c:x val="0.13525240594925633"/>
          <c:y val="0.19980214471919094"/>
          <c:w val="0.83419203849519685"/>
          <c:h val="0.65060003110612052"/>
        </c:manualLayout>
      </c:layout>
      <c:barChart>
        <c:barDir val="col"/>
        <c:grouping val="clustered"/>
        <c:varyColors val="0"/>
        <c:ser>
          <c:idx val="0"/>
          <c:order val="0"/>
          <c:tx>
            <c:strRef>
              <c:f>Formulas!$BF$31</c:f>
              <c:strCache>
                <c:ptCount val="1"/>
                <c:pt idx="0">
                  <c:v>Current $/PH Exit</c:v>
                </c:pt>
              </c:strCache>
            </c:strRef>
          </c:tx>
          <c:invertIfNegative val="0"/>
          <c:dLbls>
            <c:delete val="1"/>
          </c:dLbls>
          <c:cat>
            <c:strRef>
              <c:f>Formulas!$BE$32:$BE$35</c:f>
              <c:strCache>
                <c:ptCount val="4"/>
                <c:pt idx="0">
                  <c:v>ES</c:v>
                </c:pt>
                <c:pt idx="1">
                  <c:v>TH</c:v>
                </c:pt>
                <c:pt idx="2">
                  <c:v>RR</c:v>
                </c:pt>
                <c:pt idx="3">
                  <c:v>All Programs</c:v>
                </c:pt>
              </c:strCache>
            </c:strRef>
          </c:cat>
          <c:val>
            <c:numRef>
              <c:f>Formulas!$BF$32:$BF$35</c:f>
              <c:numCache>
                <c:formatCode>"$"#,##0</c:formatCode>
                <c:ptCount val="4"/>
                <c:pt idx="0">
                  <c:v>7547</c:v>
                </c:pt>
                <c:pt idx="1">
                  <c:v>18367</c:v>
                </c:pt>
                <c:pt idx="2">
                  <c:v>5758</c:v>
                </c:pt>
                <c:pt idx="3">
                  <c:v>10557.333333333334</c:v>
                </c:pt>
              </c:numCache>
            </c:numRef>
          </c:val>
        </c:ser>
        <c:ser>
          <c:idx val="1"/>
          <c:order val="1"/>
          <c:tx>
            <c:strRef>
              <c:f>Formulas!$BG$31</c:f>
              <c:strCache>
                <c:ptCount val="1"/>
                <c:pt idx="0">
                  <c:v>New $/PH Exit</c:v>
                </c:pt>
              </c:strCache>
            </c:strRef>
          </c:tx>
          <c:invertIfNegative val="0"/>
          <c:dLbls>
            <c:dLbl>
              <c:idx val="0"/>
              <c:tx>
                <c:strRef>
                  <c:f>Formulas!$BH$32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{C79D4D65-1C0C-4AC3-B938-C37B2D2EAF07}</c15:txfldGUID>
                      <c15:f>Formulas!$BH$32</c15:f>
                      <c15:dlblFieldTableCache>
                        <c:ptCount val="1"/>
                      </c15:dlblFieldTableCache>
                    </c15:dlblFTEntry>
                  </c15:dlblFieldTable>
                  <c15:showDataLabelsRange val="0"/>
                </c:ext>
              </c:extLst>
            </c:dLbl>
            <c:dLbl>
              <c:idx val="1"/>
              <c:tx>
                <c:strRef>
                  <c:f>Formulas!$BH$33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{1F75FD39-BC79-4BE0-A930-0B4E4C7DE1A9}</c15:txfldGUID>
                      <c15:f>Formulas!$BH$33</c15:f>
                      <c15:dlblFieldTableCache>
                        <c:ptCount val="1"/>
                      </c15:dlblFieldTableCache>
                    </c15:dlblFTEntry>
                  </c15:dlblFieldTable>
                  <c15:showDataLabelsRange val="0"/>
                </c:ext>
              </c:extLst>
            </c:dLbl>
            <c:dLbl>
              <c:idx val="2"/>
              <c:tx>
                <c:strRef>
                  <c:f>Formulas!$BH$34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{D024F3E7-5EB6-4E6C-AA52-F0BFD0DD43F3}</c15:txfldGUID>
                      <c15:f>Formulas!$BH$34</c15:f>
                      <c15:dlblFieldTableCache>
                        <c:ptCount val="1"/>
                      </c15:dlblFieldTableCache>
                    </c15:dlblFTEntry>
                  </c15:dlblFieldTable>
                  <c15:showDataLabelsRange val="0"/>
                </c:ext>
              </c:extLst>
            </c:dLbl>
            <c:dLbl>
              <c:idx val="3"/>
              <c:tx>
                <c:strRef>
                  <c:f>Formulas!$BH$35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{325322E3-A99E-4EFF-9AD6-BF3EA67BF746}</c15:txfldGUID>
                      <c15:f>Formulas!$BH$35</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Formulas!$BE$32:$BE$35</c:f>
              <c:strCache>
                <c:ptCount val="4"/>
                <c:pt idx="0">
                  <c:v>ES</c:v>
                </c:pt>
                <c:pt idx="1">
                  <c:v>TH</c:v>
                </c:pt>
                <c:pt idx="2">
                  <c:v>RR</c:v>
                </c:pt>
                <c:pt idx="3">
                  <c:v>All Programs</c:v>
                </c:pt>
              </c:strCache>
            </c:strRef>
          </c:cat>
          <c:val>
            <c:numRef>
              <c:f>Formulas!$BG$32:$BG$35</c:f>
              <c:numCache>
                <c:formatCode>"$"#,##0</c:formatCode>
                <c:ptCount val="4"/>
                <c:pt idx="0">
                  <c:v>7547</c:v>
                </c:pt>
                <c:pt idx="1">
                  <c:v>18367</c:v>
                </c:pt>
                <c:pt idx="2">
                  <c:v>5758</c:v>
                </c:pt>
                <c:pt idx="3">
                  <c:v>10557.333333333334</c:v>
                </c:pt>
              </c:numCache>
            </c:numRef>
          </c:val>
        </c:ser>
        <c:dLbls>
          <c:showLegendKey val="0"/>
          <c:showVal val="1"/>
          <c:showCatName val="0"/>
          <c:showSerName val="0"/>
          <c:showPercent val="0"/>
          <c:showBubbleSize val="0"/>
        </c:dLbls>
        <c:gapWidth val="75"/>
        <c:axId val="598781824"/>
        <c:axId val="598779080"/>
      </c:barChart>
      <c:barChart>
        <c:barDir val="col"/>
        <c:grouping val="clustered"/>
        <c:varyColors val="0"/>
        <c:ser>
          <c:idx val="2"/>
          <c:order val="2"/>
          <c:tx>
            <c:strRef>
              <c:f>Formulas!$BI$31</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Formulas!$BE$32:$BE$35</c:f>
              <c:strCache>
                <c:ptCount val="4"/>
                <c:pt idx="0">
                  <c:v>ES</c:v>
                </c:pt>
                <c:pt idx="1">
                  <c:v>TH</c:v>
                </c:pt>
                <c:pt idx="2">
                  <c:v>RR</c:v>
                </c:pt>
                <c:pt idx="3">
                  <c:v>All Programs</c:v>
                </c:pt>
              </c:strCache>
            </c:strRef>
          </c:cat>
          <c:val>
            <c:numRef>
              <c:f>Formulas!$BI$32:$BI$35</c:f>
              <c:numCache>
                <c:formatCode>"$"#,##0</c:formatCode>
                <c:ptCount val="4"/>
                <c:pt idx="0">
                  <c:v>7547</c:v>
                </c:pt>
                <c:pt idx="1">
                  <c:v>18367</c:v>
                </c:pt>
                <c:pt idx="2">
                  <c:v>5758</c:v>
                </c:pt>
                <c:pt idx="3">
                  <c:v>10557.333333333334</c:v>
                </c:pt>
              </c:numCache>
            </c:numRef>
          </c:val>
        </c:ser>
        <c:ser>
          <c:idx val="3"/>
          <c:order val="3"/>
          <c:tx>
            <c:strRef>
              <c:f>Formulas!$BJ$31</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Formulas!$BE$32:$BE$35</c:f>
              <c:strCache>
                <c:ptCount val="4"/>
                <c:pt idx="0">
                  <c:v>ES</c:v>
                </c:pt>
                <c:pt idx="1">
                  <c:v>TH</c:v>
                </c:pt>
                <c:pt idx="2">
                  <c:v>RR</c:v>
                </c:pt>
                <c:pt idx="3">
                  <c:v>All Programs</c:v>
                </c:pt>
              </c:strCache>
            </c:strRef>
          </c:cat>
          <c:val>
            <c:numRef>
              <c:f>Formulas!$BJ$32:$BJ$35</c:f>
              <c:numCache>
                <c:formatCode>"$"#,##0</c:formatCode>
                <c:ptCount val="4"/>
                <c:pt idx="0">
                  <c:v>7547</c:v>
                </c:pt>
                <c:pt idx="1">
                  <c:v>18367</c:v>
                </c:pt>
                <c:pt idx="2">
                  <c:v>5758</c:v>
                </c:pt>
                <c:pt idx="3">
                  <c:v>10557.333333333334</c:v>
                </c:pt>
              </c:numCache>
            </c:numRef>
          </c:val>
        </c:ser>
        <c:dLbls>
          <c:showLegendKey val="0"/>
          <c:showVal val="0"/>
          <c:showCatName val="0"/>
          <c:showSerName val="0"/>
          <c:showPercent val="0"/>
          <c:showBubbleSize val="0"/>
        </c:dLbls>
        <c:gapWidth val="75"/>
        <c:axId val="598786920"/>
        <c:axId val="598776336"/>
      </c:barChart>
      <c:catAx>
        <c:axId val="598781824"/>
        <c:scaling>
          <c:orientation val="minMax"/>
        </c:scaling>
        <c:delete val="0"/>
        <c:axPos val="b"/>
        <c:numFmt formatCode="General" sourceLinked="0"/>
        <c:majorTickMark val="none"/>
        <c:minorTickMark val="none"/>
        <c:tickLblPos val="nextTo"/>
        <c:crossAx val="598779080"/>
        <c:crosses val="autoZero"/>
        <c:auto val="1"/>
        <c:lblAlgn val="ctr"/>
        <c:lblOffset val="100"/>
        <c:noMultiLvlLbl val="0"/>
      </c:catAx>
      <c:valAx>
        <c:axId val="598779080"/>
        <c:scaling>
          <c:orientation val="minMax"/>
        </c:scaling>
        <c:delete val="0"/>
        <c:axPos val="l"/>
        <c:majorGridlines/>
        <c:numFmt formatCode="&quot;$&quot;#,##0" sourceLinked="1"/>
        <c:majorTickMark val="none"/>
        <c:minorTickMark val="none"/>
        <c:tickLblPos val="nextTo"/>
        <c:crossAx val="598781824"/>
        <c:crosses val="autoZero"/>
        <c:crossBetween val="between"/>
      </c:valAx>
      <c:valAx>
        <c:axId val="598776336"/>
        <c:scaling>
          <c:orientation val="minMax"/>
        </c:scaling>
        <c:delete val="1"/>
        <c:axPos val="r"/>
        <c:numFmt formatCode="&quot;$&quot;#,##0" sourceLinked="1"/>
        <c:majorTickMark val="out"/>
        <c:minorTickMark val="none"/>
        <c:tickLblPos val="none"/>
        <c:crossAx val="598786920"/>
        <c:crosses val="max"/>
        <c:crossBetween val="between"/>
      </c:valAx>
      <c:catAx>
        <c:axId val="598786920"/>
        <c:scaling>
          <c:orientation val="minMax"/>
        </c:scaling>
        <c:delete val="1"/>
        <c:axPos val="b"/>
        <c:numFmt formatCode="General" sourceLinked="1"/>
        <c:majorTickMark val="out"/>
        <c:minorTickMark val="none"/>
        <c:tickLblPos val="none"/>
        <c:crossAx val="598776336"/>
        <c:crosses val="autoZero"/>
        <c:auto val="1"/>
        <c:lblAlgn val="ctr"/>
        <c:lblOffset val="100"/>
        <c:noMultiLvlLbl val="0"/>
      </c:catAx>
      <c:spPr>
        <a:solidFill>
          <a:srgbClr val="C0504D">
            <a:lumMod val="20000"/>
            <a:lumOff val="80000"/>
            <a:alpha val="50000"/>
          </a:srgbClr>
        </a:solidFill>
      </c:spPr>
    </c:plotArea>
    <c:legend>
      <c:legendPos val="b"/>
      <c:legendEntry>
        <c:idx val="0"/>
        <c:delete val="1"/>
      </c:legendEntry>
      <c:legendEntry>
        <c:idx val="1"/>
        <c:delete val="1"/>
      </c:legendEntry>
      <c:layout>
        <c:manualLayout>
          <c:xMode val="edge"/>
          <c:yMode val="edge"/>
          <c:x val="6.1644566355373263E-3"/>
          <c:y val="0.91635114358676806"/>
          <c:w val="0.47018000874890636"/>
          <c:h val="8.3648856413233247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533" l="0.70000000000000062" r="0.70000000000000062" t="0.75000000000000533"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Formulas!$BD$48</c:f>
          <c:strCache>
            <c:ptCount val="1"/>
            <c:pt idx="0">
              <c:v>17B. Change in Average Cost per Permanent Housing Exit
Family Households</c:v>
            </c:pt>
          </c:strCache>
        </c:strRef>
      </c:tx>
      <c:layout>
        <c:manualLayout>
          <c:xMode val="edge"/>
          <c:yMode val="edge"/>
          <c:x val="1.4044685364872661E-3"/>
          <c:y val="4.6258506374749955E-3"/>
        </c:manualLayout>
      </c:layout>
      <c:overlay val="0"/>
      <c:txPr>
        <a:bodyPr/>
        <a:lstStyle/>
        <a:p>
          <a:pPr algn="l">
            <a:defRPr sz="1100"/>
          </a:pPr>
          <a:endParaRPr lang="en-US"/>
        </a:p>
      </c:txPr>
    </c:title>
    <c:autoTitleDeleted val="0"/>
    <c:plotArea>
      <c:layout>
        <c:manualLayout>
          <c:layoutTarget val="inner"/>
          <c:xMode val="edge"/>
          <c:yMode val="edge"/>
          <c:x val="0.13525240594925633"/>
          <c:y val="0.18129874216929295"/>
          <c:w val="0.83419203849519685"/>
          <c:h val="0.66447758301853965"/>
        </c:manualLayout>
      </c:layout>
      <c:barChart>
        <c:barDir val="col"/>
        <c:grouping val="clustered"/>
        <c:varyColors val="0"/>
        <c:ser>
          <c:idx val="0"/>
          <c:order val="0"/>
          <c:tx>
            <c:strRef>
              <c:f>Formulas!$BF$47</c:f>
              <c:strCache>
                <c:ptCount val="1"/>
                <c:pt idx="0">
                  <c:v>Current $/PH Exit</c:v>
                </c:pt>
              </c:strCache>
            </c:strRef>
          </c:tx>
          <c:invertIfNegative val="0"/>
          <c:dLbls>
            <c:delete val="1"/>
          </c:dLbls>
          <c:cat>
            <c:strRef>
              <c:f>Formulas!$BE$48:$BE$51</c:f>
              <c:strCache>
                <c:ptCount val="4"/>
                <c:pt idx="0">
                  <c:v>ES</c:v>
                </c:pt>
                <c:pt idx="1">
                  <c:v>TH</c:v>
                </c:pt>
                <c:pt idx="2">
                  <c:v>RR</c:v>
                </c:pt>
                <c:pt idx="3">
                  <c:v>All Programs</c:v>
                </c:pt>
              </c:strCache>
            </c:strRef>
          </c:cat>
          <c:val>
            <c:numRef>
              <c:f>Formulas!$BF$48:$BF$51</c:f>
              <c:numCache>
                <c:formatCode>"$"#,##0</c:formatCode>
                <c:ptCount val="4"/>
                <c:pt idx="0">
                  <c:v>8759</c:v>
                </c:pt>
                <c:pt idx="1">
                  <c:v>18987</c:v>
                </c:pt>
                <c:pt idx="2">
                  <c:v>3617</c:v>
                </c:pt>
                <c:pt idx="3">
                  <c:v>10454</c:v>
                </c:pt>
              </c:numCache>
            </c:numRef>
          </c:val>
        </c:ser>
        <c:ser>
          <c:idx val="1"/>
          <c:order val="1"/>
          <c:tx>
            <c:strRef>
              <c:f>Formulas!$BG$47</c:f>
              <c:strCache>
                <c:ptCount val="1"/>
                <c:pt idx="0">
                  <c:v>New $/PH Exit</c:v>
                </c:pt>
              </c:strCache>
            </c:strRef>
          </c:tx>
          <c:invertIfNegative val="0"/>
          <c:dLbls>
            <c:dLbl>
              <c:idx val="0"/>
              <c:tx>
                <c:strRef>
                  <c:f>Formulas!$BH$48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{77D01AD2-C32C-4C4A-8BE5-47FCA78FCC28}</c15:txfldGUID>
                      <c15:f>Formulas!$BH$48</c15:f>
                      <c15:dlblFieldTableCache>
                        <c:ptCount val="1"/>
                      </c15:dlblFieldTableCache>
                    </c15:dlblFTEntry>
                  </c15:dlblFieldTable>
                  <c15:showDataLabelsRange val="0"/>
                </c:ext>
              </c:extLst>
            </c:dLbl>
            <c:dLbl>
              <c:idx val="1"/>
              <c:tx>
                <c:strRef>
                  <c:f>Formulas!$BH$49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{1CEBE7E9-1F2E-415D-8514-006C611754B6}</c15:txfldGUID>
                      <c15:f>Formulas!$BH$49</c15:f>
                      <c15:dlblFieldTableCache>
                        <c:ptCount val="1"/>
                      </c15:dlblFieldTableCache>
                    </c15:dlblFTEntry>
                  </c15:dlblFieldTable>
                  <c15:showDataLabelsRange val="0"/>
                </c:ext>
              </c:extLst>
            </c:dLbl>
            <c:dLbl>
              <c:idx val="2"/>
              <c:tx>
                <c:strRef>
                  <c:f>Formulas!$BH$50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{10B2033C-6AFF-4F47-A5A3-C59448F56488}</c15:txfldGUID>
                      <c15:f>Formulas!$BH$50</c15:f>
                      <c15:dlblFieldTableCache>
                        <c:ptCount val="1"/>
                      </c15:dlblFieldTableCache>
                    </c15:dlblFTEntry>
                  </c15:dlblFieldTable>
                  <c15:showDataLabelsRange val="0"/>
                </c:ext>
              </c:extLst>
            </c:dLbl>
            <c:dLbl>
              <c:idx val="3"/>
              <c:tx>
                <c:strRef>
                  <c:f>Formulas!$BH$51</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{F2F7892B-8374-4CF0-9C66-22E87F821452}</c15:txfldGUID>
                      <c15:f>Formulas!$BH$51</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Formulas!$BE$48:$BE$51</c:f>
              <c:strCache>
                <c:ptCount val="4"/>
                <c:pt idx="0">
                  <c:v>ES</c:v>
                </c:pt>
                <c:pt idx="1">
                  <c:v>TH</c:v>
                </c:pt>
                <c:pt idx="2">
                  <c:v>RR</c:v>
                </c:pt>
                <c:pt idx="3">
                  <c:v>All Programs</c:v>
                </c:pt>
              </c:strCache>
            </c:strRef>
          </c:cat>
          <c:val>
            <c:numRef>
              <c:f>Formulas!$BG$48:$BG$51</c:f>
              <c:numCache>
                <c:formatCode>"$"#,##0</c:formatCode>
                <c:ptCount val="4"/>
                <c:pt idx="0">
                  <c:v>8759</c:v>
                </c:pt>
                <c:pt idx="1">
                  <c:v>18987</c:v>
                </c:pt>
                <c:pt idx="2">
                  <c:v>3617</c:v>
                </c:pt>
                <c:pt idx="3">
                  <c:v>10454</c:v>
                </c:pt>
              </c:numCache>
            </c:numRef>
          </c:val>
        </c:ser>
        <c:dLbls>
          <c:showLegendKey val="0"/>
          <c:showVal val="1"/>
          <c:showCatName val="0"/>
          <c:showSerName val="0"/>
          <c:showPercent val="0"/>
          <c:showBubbleSize val="0"/>
        </c:dLbls>
        <c:gapWidth val="75"/>
        <c:axId val="598784568"/>
        <c:axId val="598785352"/>
      </c:barChart>
      <c:barChart>
        <c:barDir val="col"/>
        <c:grouping val="clustered"/>
        <c:varyColors val="0"/>
        <c:ser>
          <c:idx val="2"/>
          <c:order val="2"/>
          <c:tx>
            <c:strRef>
              <c:f>Formulas!$BI$47</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Formulas!$BE$48:$BE$51</c:f>
              <c:strCache>
                <c:ptCount val="4"/>
                <c:pt idx="0">
                  <c:v>ES</c:v>
                </c:pt>
                <c:pt idx="1">
                  <c:v>TH</c:v>
                </c:pt>
                <c:pt idx="2">
                  <c:v>RR</c:v>
                </c:pt>
                <c:pt idx="3">
                  <c:v>All Programs</c:v>
                </c:pt>
              </c:strCache>
            </c:strRef>
          </c:cat>
          <c:val>
            <c:numRef>
              <c:f>Formulas!$BI$48:$BI$51</c:f>
              <c:numCache>
                <c:formatCode>"$"#,##0</c:formatCode>
                <c:ptCount val="4"/>
                <c:pt idx="0">
                  <c:v>8759</c:v>
                </c:pt>
                <c:pt idx="1">
                  <c:v>18987</c:v>
                </c:pt>
                <c:pt idx="2">
                  <c:v>3617</c:v>
                </c:pt>
                <c:pt idx="3">
                  <c:v>10454</c:v>
                </c:pt>
              </c:numCache>
            </c:numRef>
          </c:val>
        </c:ser>
        <c:ser>
          <c:idx val="3"/>
          <c:order val="3"/>
          <c:tx>
            <c:strRef>
              <c:f>Formulas!$BJ$47</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Formulas!$BE$48:$BE$51</c:f>
              <c:strCache>
                <c:ptCount val="4"/>
                <c:pt idx="0">
                  <c:v>ES</c:v>
                </c:pt>
                <c:pt idx="1">
                  <c:v>TH</c:v>
                </c:pt>
                <c:pt idx="2">
                  <c:v>RR</c:v>
                </c:pt>
                <c:pt idx="3">
                  <c:v>All Programs</c:v>
                </c:pt>
              </c:strCache>
            </c:strRef>
          </c:cat>
          <c:val>
            <c:numRef>
              <c:f>Formulas!$BJ$48:$BJ$51</c:f>
              <c:numCache>
                <c:formatCode>"$"#,##0</c:formatCode>
                <c:ptCount val="4"/>
                <c:pt idx="0">
                  <c:v>8759</c:v>
                </c:pt>
                <c:pt idx="1">
                  <c:v>18987</c:v>
                </c:pt>
                <c:pt idx="2">
                  <c:v>3617</c:v>
                </c:pt>
                <c:pt idx="3">
                  <c:v>10454</c:v>
                </c:pt>
              </c:numCache>
            </c:numRef>
          </c:val>
        </c:ser>
        <c:dLbls>
          <c:showLegendKey val="0"/>
          <c:showVal val="0"/>
          <c:showCatName val="0"/>
          <c:showSerName val="0"/>
          <c:showPercent val="0"/>
          <c:showBubbleSize val="0"/>
        </c:dLbls>
        <c:gapWidth val="75"/>
        <c:axId val="598777120"/>
        <c:axId val="598785744"/>
      </c:barChart>
      <c:catAx>
        <c:axId val="598784568"/>
        <c:scaling>
          <c:orientation val="minMax"/>
        </c:scaling>
        <c:delete val="0"/>
        <c:axPos val="b"/>
        <c:numFmt formatCode="General" sourceLinked="0"/>
        <c:majorTickMark val="none"/>
        <c:minorTickMark val="none"/>
        <c:tickLblPos val="nextTo"/>
        <c:crossAx val="598785352"/>
        <c:crosses val="autoZero"/>
        <c:auto val="1"/>
        <c:lblAlgn val="ctr"/>
        <c:lblOffset val="100"/>
        <c:noMultiLvlLbl val="0"/>
      </c:catAx>
      <c:valAx>
        <c:axId val="598785352"/>
        <c:scaling>
          <c:orientation val="minMax"/>
        </c:scaling>
        <c:delete val="0"/>
        <c:axPos val="l"/>
        <c:majorGridlines/>
        <c:numFmt formatCode="&quot;$&quot;#,##0" sourceLinked="1"/>
        <c:majorTickMark val="none"/>
        <c:minorTickMark val="none"/>
        <c:tickLblPos val="nextTo"/>
        <c:crossAx val="598784568"/>
        <c:crosses val="autoZero"/>
        <c:crossBetween val="between"/>
      </c:valAx>
      <c:valAx>
        <c:axId val="598785744"/>
        <c:scaling>
          <c:orientation val="minMax"/>
        </c:scaling>
        <c:delete val="1"/>
        <c:axPos val="r"/>
        <c:numFmt formatCode="&quot;$&quot;#,##0" sourceLinked="1"/>
        <c:majorTickMark val="out"/>
        <c:minorTickMark val="none"/>
        <c:tickLblPos val="none"/>
        <c:crossAx val="598777120"/>
        <c:crosses val="max"/>
        <c:crossBetween val="between"/>
      </c:valAx>
      <c:catAx>
        <c:axId val="598777120"/>
        <c:scaling>
          <c:orientation val="minMax"/>
        </c:scaling>
        <c:delete val="1"/>
        <c:axPos val="b"/>
        <c:numFmt formatCode="General" sourceLinked="1"/>
        <c:majorTickMark val="out"/>
        <c:minorTickMark val="none"/>
        <c:tickLblPos val="none"/>
        <c:crossAx val="59878574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5.9981825813480824E-4"/>
          <c:y val="0.91635114358676806"/>
          <c:w val="0.47018000874890636"/>
          <c:h val="8.3648856413233247E-2"/>
        </c:manualLayout>
      </c:layout>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3B. Rate of Exits to Permanent</a:t>
            </a:r>
            <a:r>
              <a:rPr lang="en-US" sz="1200" baseline="0"/>
              <a:t> Housing</a:t>
            </a:r>
          </a:p>
          <a:p>
            <a:pPr>
              <a:defRPr sz="1200"/>
            </a:pPr>
            <a:r>
              <a:rPr lang="en-US" sz="1200"/>
              <a:t>Family Households</a:t>
            </a:r>
          </a:p>
        </c:rich>
      </c:tx>
      <c:overlay val="0"/>
    </c:title>
    <c:autoTitleDeleted val="0"/>
    <c:plotArea>
      <c:layout/>
      <c:barChart>
        <c:barDir val="col"/>
        <c:grouping val="clustered"/>
        <c:varyColors val="0"/>
        <c:ser>
          <c:idx val="0"/>
          <c:order val="0"/>
          <c:tx>
            <c:strRef>
              <c:f>Formulas!$CJ$17</c:f>
              <c:strCache>
                <c:ptCount val="1"/>
                <c:pt idx="0">
                  <c:v>Rate of Exit to PH - Family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Formulas!$CH$18:$CH$20</c:f>
              <c:strCache>
                <c:ptCount val="3"/>
                <c:pt idx="0">
                  <c:v>Emergency Shelters</c:v>
                </c:pt>
                <c:pt idx="1">
                  <c:v>Transitional Housing</c:v>
                </c:pt>
                <c:pt idx="2">
                  <c:v>Rapid Re-Housing</c:v>
                </c:pt>
              </c:strCache>
            </c:strRef>
          </c:cat>
          <c:val>
            <c:numRef>
              <c:f>Formulas!$CJ$18:$CJ$20</c:f>
              <c:numCache>
                <c:formatCode>0%</c:formatCode>
                <c:ptCount val="3"/>
                <c:pt idx="0">
                  <c:v>0.31860465116279069</c:v>
                </c:pt>
                <c:pt idx="1">
                  <c:v>0.55438596491228065</c:v>
                </c:pt>
                <c:pt idx="2">
                  <c:v>0.8545454545454545</c:v>
                </c:pt>
              </c:numCache>
            </c:numRef>
          </c:val>
        </c:ser>
        <c:dLbls>
          <c:showLegendKey val="0"/>
          <c:showVal val="1"/>
          <c:showCatName val="0"/>
          <c:showSerName val="0"/>
          <c:showPercent val="0"/>
          <c:showBubbleSize val="0"/>
        </c:dLbls>
        <c:gapWidth val="50"/>
        <c:axId val="604260424"/>
        <c:axId val="604263168"/>
      </c:barChart>
      <c:catAx>
        <c:axId val="604260424"/>
        <c:scaling>
          <c:orientation val="minMax"/>
        </c:scaling>
        <c:delete val="0"/>
        <c:axPos val="b"/>
        <c:numFmt formatCode="General" sourceLinked="0"/>
        <c:majorTickMark val="out"/>
        <c:minorTickMark val="none"/>
        <c:tickLblPos val="nextTo"/>
        <c:crossAx val="604263168"/>
        <c:crosses val="autoZero"/>
        <c:auto val="1"/>
        <c:lblAlgn val="ctr"/>
        <c:lblOffset val="100"/>
        <c:noMultiLvlLbl val="0"/>
      </c:catAx>
      <c:valAx>
        <c:axId val="604263168"/>
        <c:scaling>
          <c:orientation val="minMax"/>
        </c:scaling>
        <c:delete val="0"/>
        <c:axPos val="l"/>
        <c:majorGridlines/>
        <c:numFmt formatCode="0%" sourceLinked="1"/>
        <c:majorTickMark val="out"/>
        <c:minorTickMark val="none"/>
        <c:tickLblPos val="nextTo"/>
        <c:crossAx val="604260424"/>
        <c:crosses val="autoZero"/>
        <c:crossBetween val="between"/>
      </c:valAx>
      <c:spPr>
        <a:solidFill>
          <a:srgbClr val="FFFFCC">
            <a:alpha val="25000"/>
          </a:srgbClr>
        </a:solidFill>
      </c:spPr>
    </c:plotArea>
    <c:plotVisOnly val="1"/>
    <c:dispBlanksAs val="gap"/>
    <c:showDLblsOverMax val="0"/>
  </c:chart>
  <c:spPr>
    <a:solidFill>
      <a:srgbClr val="FFFFCC">
        <a:alpha val="50000"/>
      </a:srgbClr>
    </a:solidFill>
  </c:spPr>
  <c:printSettings>
    <c:headerFooter/>
    <c:pageMargins b="0.75000000000000577" l="0.70000000000000062" r="0.70000000000000062" t="0.750000000000005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Formulas!$BD$64</c:f>
          <c:strCache>
            <c:ptCount val="1"/>
            <c:pt idx="0">
              <c:v>17C. Change in Average Cost per Permanent Housing Exit
All Households</c:v>
            </c:pt>
          </c:strCache>
        </c:strRef>
      </c:tx>
      <c:layout>
        <c:manualLayout>
          <c:xMode val="edge"/>
          <c:yMode val="edge"/>
          <c:x val="4.8515614114876442E-3"/>
          <c:y val="0"/>
        </c:manualLayout>
      </c:layout>
      <c:overlay val="0"/>
      <c:txPr>
        <a:bodyPr/>
        <a:lstStyle/>
        <a:p>
          <a:pPr algn="l">
            <a:defRPr sz="1100"/>
          </a:pPr>
          <a:endParaRPr lang="en-US"/>
        </a:p>
      </c:txPr>
    </c:title>
    <c:autoTitleDeleted val="0"/>
    <c:plotArea>
      <c:layout>
        <c:manualLayout>
          <c:layoutTarget val="inner"/>
          <c:xMode val="edge"/>
          <c:yMode val="edge"/>
          <c:x val="0.13525240594925633"/>
          <c:y val="0.19517629408171583"/>
          <c:w val="0.83419203849519685"/>
          <c:h val="0.65111148340500202"/>
        </c:manualLayout>
      </c:layout>
      <c:barChart>
        <c:barDir val="col"/>
        <c:grouping val="clustered"/>
        <c:varyColors val="0"/>
        <c:ser>
          <c:idx val="0"/>
          <c:order val="0"/>
          <c:tx>
            <c:strRef>
              <c:f>Formulas!$BF$63</c:f>
              <c:strCache>
                <c:ptCount val="1"/>
                <c:pt idx="0">
                  <c:v>Current $/PH Exit</c:v>
                </c:pt>
              </c:strCache>
            </c:strRef>
          </c:tx>
          <c:invertIfNegative val="0"/>
          <c:dLbls>
            <c:delete val="1"/>
          </c:dLbls>
          <c:cat>
            <c:strRef>
              <c:f>Formulas!$BE$64:$BE$67</c:f>
              <c:strCache>
                <c:ptCount val="4"/>
                <c:pt idx="0">
                  <c:v>ES</c:v>
                </c:pt>
                <c:pt idx="1">
                  <c:v>TH</c:v>
                </c:pt>
                <c:pt idx="2">
                  <c:v>RR</c:v>
                </c:pt>
                <c:pt idx="3">
                  <c:v>All Programs</c:v>
                </c:pt>
              </c:strCache>
            </c:strRef>
          </c:cat>
          <c:val>
            <c:numRef>
              <c:f>Formulas!$BF$64:$BF$67</c:f>
              <c:numCache>
                <c:formatCode>"$"#,##0</c:formatCode>
                <c:ptCount val="4"/>
                <c:pt idx="0">
                  <c:v>7960</c:v>
                </c:pt>
                <c:pt idx="1">
                  <c:v>18750</c:v>
                </c:pt>
                <c:pt idx="2">
                  <c:v>4308</c:v>
                </c:pt>
                <c:pt idx="3">
                  <c:v>10339</c:v>
                </c:pt>
              </c:numCache>
            </c:numRef>
          </c:val>
        </c:ser>
        <c:ser>
          <c:idx val="1"/>
          <c:order val="1"/>
          <c:tx>
            <c:strRef>
              <c:f>Formulas!$BG$63</c:f>
              <c:strCache>
                <c:ptCount val="1"/>
                <c:pt idx="0">
                  <c:v>New $/PH Exit</c:v>
                </c:pt>
              </c:strCache>
            </c:strRef>
          </c:tx>
          <c:invertIfNegative val="0"/>
          <c:dLbls>
            <c:dLbl>
              <c:idx val="0"/>
              <c:tx>
                <c:strRef>
                  <c:f>Formulas!$BH$64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{28697487-8976-41AC-BA78-E8CB44E3201F}</c15:txfldGUID>
                      <c15:f>Formulas!$BH$64</c15:f>
                      <c15:dlblFieldTableCache>
                        <c:ptCount val="1"/>
                      </c15:dlblFieldTableCache>
                    </c15:dlblFTEntry>
                  </c15:dlblFieldTable>
                  <c15:showDataLabelsRange val="0"/>
                </c:ext>
              </c:extLst>
            </c:dLbl>
            <c:dLbl>
              <c:idx val="1"/>
              <c:tx>
                <c:strRef>
                  <c:f>Formulas!$BH$65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{D621E03B-9FD0-4773-9067-2F7FC3DDA076}</c15:txfldGUID>
                      <c15:f>Formulas!$BH$65</c15:f>
                      <c15:dlblFieldTableCache>
                        <c:ptCount val="1"/>
                      </c15:dlblFieldTableCache>
                    </c15:dlblFTEntry>
                  </c15:dlblFieldTable>
                  <c15:showDataLabelsRange val="0"/>
                </c:ext>
              </c:extLst>
            </c:dLbl>
            <c:dLbl>
              <c:idx val="2"/>
              <c:tx>
                <c:strRef>
                  <c:f>Formulas!$BH$66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{C6C7179B-59F9-4097-9854-2C26F88E287E}</c15:txfldGUID>
                      <c15:f>Formulas!$BH$66</c15:f>
                      <c15:dlblFieldTableCache>
                        <c:ptCount val="1"/>
                      </c15:dlblFieldTableCache>
                    </c15:dlblFTEntry>
                  </c15:dlblFieldTable>
                  <c15:showDataLabelsRange val="0"/>
                </c:ext>
              </c:extLst>
            </c:dLbl>
            <c:dLbl>
              <c:idx val="3"/>
              <c:tx>
                <c:strRef>
                  <c:f>Formulas!$BH$67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{15E9F9D1-3ECA-4D27-8C08-818AF7DA5000}</c15:txfldGUID>
                      <c15:f>Formulas!$BH$67</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Formulas!$BE$64:$BE$67</c:f>
              <c:strCache>
                <c:ptCount val="4"/>
                <c:pt idx="0">
                  <c:v>ES</c:v>
                </c:pt>
                <c:pt idx="1">
                  <c:v>TH</c:v>
                </c:pt>
                <c:pt idx="2">
                  <c:v>RR</c:v>
                </c:pt>
                <c:pt idx="3">
                  <c:v>All Programs</c:v>
                </c:pt>
              </c:strCache>
            </c:strRef>
          </c:cat>
          <c:val>
            <c:numRef>
              <c:f>Formulas!$BG$64:$BG$67</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598779864"/>
        <c:axId val="598780648"/>
      </c:barChart>
      <c:barChart>
        <c:barDir val="col"/>
        <c:grouping val="clustered"/>
        <c:varyColors val="0"/>
        <c:ser>
          <c:idx val="2"/>
          <c:order val="2"/>
          <c:tx>
            <c:strRef>
              <c:f>Formulas!$BI$63</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Formulas!$BE$64:$BE$67</c:f>
              <c:strCache>
                <c:ptCount val="4"/>
                <c:pt idx="0">
                  <c:v>ES</c:v>
                </c:pt>
                <c:pt idx="1">
                  <c:v>TH</c:v>
                </c:pt>
                <c:pt idx="2">
                  <c:v>RR</c:v>
                </c:pt>
                <c:pt idx="3">
                  <c:v>All Programs</c:v>
                </c:pt>
              </c:strCache>
            </c:strRef>
          </c:cat>
          <c:val>
            <c:numRef>
              <c:f>Formulas!$BI$64:$BI$67</c:f>
              <c:numCache>
                <c:formatCode>"$"#,##0</c:formatCode>
                <c:ptCount val="4"/>
                <c:pt idx="0">
                  <c:v>7960</c:v>
                </c:pt>
                <c:pt idx="1">
                  <c:v>18750</c:v>
                </c:pt>
                <c:pt idx="2">
                  <c:v>4308</c:v>
                </c:pt>
                <c:pt idx="3">
                  <c:v>10339</c:v>
                </c:pt>
              </c:numCache>
            </c:numRef>
          </c:val>
        </c:ser>
        <c:ser>
          <c:idx val="3"/>
          <c:order val="3"/>
          <c:tx>
            <c:strRef>
              <c:f>Formulas!$BJ$63</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Formulas!$BE$64:$BE$67</c:f>
              <c:strCache>
                <c:ptCount val="4"/>
                <c:pt idx="0">
                  <c:v>ES</c:v>
                </c:pt>
                <c:pt idx="1">
                  <c:v>TH</c:v>
                </c:pt>
                <c:pt idx="2">
                  <c:v>RR</c:v>
                </c:pt>
                <c:pt idx="3">
                  <c:v>All Programs</c:v>
                </c:pt>
              </c:strCache>
            </c:strRef>
          </c:cat>
          <c:val>
            <c:numRef>
              <c:f>Formulas!$BJ$64:$BJ$67</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598782216"/>
        <c:axId val="598781432"/>
      </c:barChart>
      <c:catAx>
        <c:axId val="598779864"/>
        <c:scaling>
          <c:orientation val="minMax"/>
        </c:scaling>
        <c:delete val="0"/>
        <c:axPos val="b"/>
        <c:numFmt formatCode="General" sourceLinked="0"/>
        <c:majorTickMark val="none"/>
        <c:minorTickMark val="none"/>
        <c:tickLblPos val="nextTo"/>
        <c:crossAx val="598780648"/>
        <c:crosses val="autoZero"/>
        <c:auto val="1"/>
        <c:lblAlgn val="ctr"/>
        <c:lblOffset val="100"/>
        <c:noMultiLvlLbl val="0"/>
      </c:catAx>
      <c:valAx>
        <c:axId val="598780648"/>
        <c:scaling>
          <c:orientation val="minMax"/>
        </c:scaling>
        <c:delete val="0"/>
        <c:axPos val="l"/>
        <c:majorGridlines/>
        <c:numFmt formatCode="&quot;$&quot;#,##0" sourceLinked="1"/>
        <c:majorTickMark val="none"/>
        <c:minorTickMark val="none"/>
        <c:tickLblPos val="nextTo"/>
        <c:crossAx val="598779864"/>
        <c:crosses val="autoZero"/>
        <c:crossBetween val="between"/>
      </c:valAx>
      <c:valAx>
        <c:axId val="598781432"/>
        <c:scaling>
          <c:orientation val="minMax"/>
        </c:scaling>
        <c:delete val="1"/>
        <c:axPos val="r"/>
        <c:numFmt formatCode="&quot;$&quot;#,##0" sourceLinked="1"/>
        <c:majorTickMark val="out"/>
        <c:minorTickMark val="none"/>
        <c:tickLblPos val="none"/>
        <c:crossAx val="598782216"/>
        <c:crosses val="max"/>
        <c:crossBetween val="between"/>
      </c:valAx>
      <c:catAx>
        <c:axId val="598782216"/>
        <c:scaling>
          <c:orientation val="minMax"/>
        </c:scaling>
        <c:delete val="1"/>
        <c:axPos val="b"/>
        <c:numFmt formatCode="General" sourceLinked="1"/>
        <c:majorTickMark val="out"/>
        <c:minorTickMark val="none"/>
        <c:tickLblPos val="none"/>
        <c:crossAx val="59878143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
          <c:y val="0.91635114759591219"/>
          <c:w val="0.47018000874890636"/>
          <c:h val="8.364885641323324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Formulas!$BD$38</c:f>
          <c:strCache>
            <c:ptCount val="1"/>
            <c:pt idx="0">
              <c:v>18A. Change in Perm. Supportive Housing Capacity
Single Adults</c:v>
            </c:pt>
          </c:strCache>
        </c:strRef>
      </c:tx>
      <c:layout>
        <c:manualLayout>
          <c:xMode val="edge"/>
          <c:yMode val="edge"/>
          <c:x val="0.18150960946757491"/>
          <c:y val="2.7755103824850216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Formulas!$BE$38</c:f>
              <c:strCache>
                <c:ptCount val="1"/>
                <c:pt idx="0">
                  <c:v>Existing PSH Capacity</c:v>
                </c:pt>
              </c:strCache>
            </c:strRef>
          </c:tx>
          <c:invertIfNegative val="0"/>
          <c:dLbls>
            <c:numFmt formatCode="#;;;"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Formulas!$BF$37:$BG$37</c:f>
              <c:strCache>
                <c:ptCount val="2"/>
                <c:pt idx="0">
                  <c:v>Current</c:v>
                </c:pt>
                <c:pt idx="1">
                  <c:v>Future</c:v>
                </c:pt>
              </c:strCache>
            </c:strRef>
          </c:cat>
          <c:val>
            <c:numRef>
              <c:f>Formulas!$BF$38:$BG$38</c:f>
              <c:numCache>
                <c:formatCode>#,##0_);\(#,##0\)</c:formatCode>
                <c:ptCount val="2"/>
                <c:pt idx="0">
                  <c:v>185</c:v>
                </c:pt>
                <c:pt idx="1">
                  <c:v>185</c:v>
                </c:pt>
              </c:numCache>
            </c:numRef>
          </c:val>
        </c:ser>
        <c:ser>
          <c:idx val="1"/>
          <c:order val="1"/>
          <c:tx>
            <c:strRef>
              <c:f>Formulas!$BE$39</c:f>
              <c:strCache>
                <c:ptCount val="1"/>
                <c:pt idx="0">
                  <c:v>New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Formulas!$BF$37:$BG$37</c:f>
              <c:strCache>
                <c:ptCount val="2"/>
                <c:pt idx="0">
                  <c:v>Current</c:v>
                </c:pt>
                <c:pt idx="1">
                  <c:v>Future</c:v>
                </c:pt>
              </c:strCache>
            </c:strRef>
          </c:cat>
          <c:val>
            <c:numRef>
              <c:f>Formulas!$BF$39:$BG$39</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598777904"/>
        <c:axId val="598788880"/>
      </c:barChart>
      <c:catAx>
        <c:axId val="598777904"/>
        <c:scaling>
          <c:orientation val="minMax"/>
        </c:scaling>
        <c:delete val="0"/>
        <c:axPos val="b"/>
        <c:numFmt formatCode="General" sourceLinked="0"/>
        <c:majorTickMark val="none"/>
        <c:minorTickMark val="none"/>
        <c:tickLblPos val="nextTo"/>
        <c:crossAx val="598788880"/>
        <c:crosses val="autoZero"/>
        <c:auto val="1"/>
        <c:lblAlgn val="ctr"/>
        <c:lblOffset val="100"/>
        <c:noMultiLvlLbl val="0"/>
      </c:catAx>
      <c:valAx>
        <c:axId val="598788880"/>
        <c:scaling>
          <c:orientation val="minMax"/>
        </c:scaling>
        <c:delete val="0"/>
        <c:axPos val="l"/>
        <c:majorGridlines/>
        <c:numFmt formatCode="#,##0_);\(#,##0\)" sourceLinked="1"/>
        <c:majorTickMark val="none"/>
        <c:minorTickMark val="none"/>
        <c:tickLblPos val="nextTo"/>
        <c:crossAx val="598777904"/>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533" l="0.70000000000000062" r="0.70000000000000062" t="0.750000000000005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Formulas!$BD$54</c:f>
          <c:strCache>
            <c:ptCount val="1"/>
            <c:pt idx="0">
              <c:v>18B. Change in Perm. Supportive Housing Capacity
Family Households</c:v>
            </c:pt>
          </c:strCache>
        </c:strRef>
      </c:tx>
      <c:layout>
        <c:manualLayout>
          <c:xMode val="edge"/>
          <c:yMode val="edge"/>
          <c:x val="0.17316301824691832"/>
          <c:y val="2.3129253187374996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Formulas!$BE$54</c:f>
              <c:strCache>
                <c:ptCount val="1"/>
                <c:pt idx="0">
                  <c:v>Existing PSH Capacity</c:v>
                </c:pt>
              </c:strCache>
            </c:strRef>
          </c:tx>
          <c:invertIfNegative val="0"/>
          <c:dLbls>
            <c:numFmt formatCode="#;;;"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Formulas!$BF$53:$BG$53</c:f>
              <c:strCache>
                <c:ptCount val="2"/>
                <c:pt idx="0">
                  <c:v>Current</c:v>
                </c:pt>
                <c:pt idx="1">
                  <c:v>Future</c:v>
                </c:pt>
              </c:strCache>
            </c:strRef>
          </c:cat>
          <c:val>
            <c:numRef>
              <c:f>Formulas!$BF$54:$BG$54</c:f>
              <c:numCache>
                <c:formatCode>#,##0_);\(#,##0\)</c:formatCode>
                <c:ptCount val="2"/>
                <c:pt idx="0">
                  <c:v>80</c:v>
                </c:pt>
                <c:pt idx="1">
                  <c:v>80</c:v>
                </c:pt>
              </c:numCache>
            </c:numRef>
          </c:val>
        </c:ser>
        <c:ser>
          <c:idx val="1"/>
          <c:order val="1"/>
          <c:tx>
            <c:strRef>
              <c:f>Formulas!$BE$55</c:f>
              <c:strCache>
                <c:ptCount val="1"/>
                <c:pt idx="0">
                  <c:v>New PSH Capacity</c:v>
                </c:pt>
              </c:strCache>
            </c:strRef>
          </c:tx>
          <c:invertIfNegative val="0"/>
          <c:dLbls>
            <c:numFmt formatCode="0;;;" sourceLinked="0"/>
            <c:spPr>
              <a:noFill/>
              <a:ln>
                <a:noFill/>
              </a:ln>
              <a:effectLst/>
            </c:spPr>
            <c:txPr>
              <a:bodyPr/>
              <a:lstStyle/>
              <a:p>
                <a:pPr>
                  <a:defRPr sz="11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Formulas!$BF$53:$BG$53</c:f>
              <c:strCache>
                <c:ptCount val="2"/>
                <c:pt idx="0">
                  <c:v>Current</c:v>
                </c:pt>
                <c:pt idx="1">
                  <c:v>Future</c:v>
                </c:pt>
              </c:strCache>
            </c:strRef>
          </c:cat>
          <c:val>
            <c:numRef>
              <c:f>Formulas!$BF$55:$BG$55</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598789664"/>
        <c:axId val="598789272"/>
      </c:barChart>
      <c:catAx>
        <c:axId val="598789664"/>
        <c:scaling>
          <c:orientation val="minMax"/>
        </c:scaling>
        <c:delete val="0"/>
        <c:axPos val="b"/>
        <c:numFmt formatCode="General" sourceLinked="0"/>
        <c:majorTickMark val="none"/>
        <c:minorTickMark val="none"/>
        <c:tickLblPos val="nextTo"/>
        <c:crossAx val="598789272"/>
        <c:crosses val="autoZero"/>
        <c:auto val="1"/>
        <c:lblAlgn val="ctr"/>
        <c:lblOffset val="100"/>
        <c:noMultiLvlLbl val="0"/>
      </c:catAx>
      <c:valAx>
        <c:axId val="598789272"/>
        <c:scaling>
          <c:orientation val="minMax"/>
        </c:scaling>
        <c:delete val="0"/>
        <c:axPos val="l"/>
        <c:majorGridlines/>
        <c:numFmt formatCode="#,##0_);\(#,##0\)" sourceLinked="1"/>
        <c:majorTickMark val="none"/>
        <c:minorTickMark val="none"/>
        <c:tickLblPos val="nextTo"/>
        <c:crossAx val="598789664"/>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Formulas!$BD$70</c:f>
          <c:strCache>
            <c:ptCount val="1"/>
            <c:pt idx="0">
              <c:v>18C. Change in Perm. Supportive Housing Capacity
All Households</c:v>
            </c:pt>
          </c:strCache>
        </c:strRef>
      </c:tx>
      <c:layout>
        <c:manualLayout>
          <c:xMode val="edge"/>
          <c:yMode val="edge"/>
          <c:x val="0.17594522857501049"/>
          <c:y val="3.7006805099800012E-2"/>
        </c:manualLayout>
      </c:layout>
      <c:overlay val="0"/>
      <c:txPr>
        <a:bodyPr/>
        <a:lstStyle/>
        <a:p>
          <a:pPr>
            <a:defRPr sz="1200"/>
          </a:pPr>
          <a:endParaRPr lang="en-US"/>
        </a:p>
      </c:txPr>
    </c:title>
    <c:autoTitleDeleted val="0"/>
    <c:plotArea>
      <c:layout/>
      <c:barChart>
        <c:barDir val="col"/>
        <c:grouping val="stacked"/>
        <c:varyColors val="0"/>
        <c:ser>
          <c:idx val="0"/>
          <c:order val="0"/>
          <c:tx>
            <c:strRef>
              <c:f>Formulas!$BE$70</c:f>
              <c:strCache>
                <c:ptCount val="1"/>
                <c:pt idx="0">
                  <c:v>Existing PSH Capacity</c:v>
                </c:pt>
              </c:strCache>
            </c:strRef>
          </c:tx>
          <c:invertIfNegative val="0"/>
          <c:dLbls>
            <c:numFmt formatCode="#;;;"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Formulas!$BF$69:$BG$69</c:f>
              <c:strCache>
                <c:ptCount val="2"/>
                <c:pt idx="0">
                  <c:v>Current</c:v>
                </c:pt>
                <c:pt idx="1">
                  <c:v>Future</c:v>
                </c:pt>
              </c:strCache>
            </c:strRef>
          </c:cat>
          <c:val>
            <c:numRef>
              <c:f>Formulas!$BF$70:$BG$70</c:f>
              <c:numCache>
                <c:formatCode>#,##0_);\(#,##0\)</c:formatCode>
                <c:ptCount val="2"/>
                <c:pt idx="0">
                  <c:v>265</c:v>
                </c:pt>
                <c:pt idx="1">
                  <c:v>265</c:v>
                </c:pt>
              </c:numCache>
            </c:numRef>
          </c:val>
        </c:ser>
        <c:ser>
          <c:idx val="1"/>
          <c:order val="1"/>
          <c:tx>
            <c:strRef>
              <c:f>Formulas!$BE$71</c:f>
              <c:strCache>
                <c:ptCount val="1"/>
                <c:pt idx="0">
                  <c:v>New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Formulas!$BF$69:$BG$69</c:f>
              <c:strCache>
                <c:ptCount val="2"/>
                <c:pt idx="0">
                  <c:v>Current</c:v>
                </c:pt>
                <c:pt idx="1">
                  <c:v>Future</c:v>
                </c:pt>
              </c:strCache>
            </c:strRef>
          </c:cat>
          <c:val>
            <c:numRef>
              <c:f>Formulas!$BF$71:$BG$71</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598791624"/>
        <c:axId val="598790056"/>
      </c:barChart>
      <c:catAx>
        <c:axId val="598791624"/>
        <c:scaling>
          <c:orientation val="minMax"/>
        </c:scaling>
        <c:delete val="0"/>
        <c:axPos val="b"/>
        <c:numFmt formatCode="General" sourceLinked="0"/>
        <c:majorTickMark val="none"/>
        <c:minorTickMark val="none"/>
        <c:tickLblPos val="nextTo"/>
        <c:crossAx val="598790056"/>
        <c:crosses val="autoZero"/>
        <c:auto val="1"/>
        <c:lblAlgn val="ctr"/>
        <c:lblOffset val="100"/>
        <c:noMultiLvlLbl val="0"/>
      </c:catAx>
      <c:valAx>
        <c:axId val="598790056"/>
        <c:scaling>
          <c:orientation val="minMax"/>
        </c:scaling>
        <c:delete val="0"/>
        <c:axPos val="l"/>
        <c:majorGridlines/>
        <c:numFmt formatCode="#,##0_);\(#,##0\)" sourceLinked="1"/>
        <c:majorTickMark val="none"/>
        <c:minorTickMark val="none"/>
        <c:tickLblPos val="nextTo"/>
        <c:crossAx val="598791624"/>
        <c:crosses val="autoZero"/>
        <c:crossBetween val="between"/>
      </c:valAx>
      <c:spPr>
        <a:solidFill>
          <a:schemeClr val="bg1">
            <a:lumMod val="95000"/>
          </a:scheme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55" l="0.70000000000000062" r="0.70000000000000062" t="0.75000000000000555" header="0.30000000000000032" footer="0.30000000000000032"/>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21A.Annual System Investment</a:t>
            </a:r>
          </a:p>
          <a:p>
            <a:pPr algn="r">
              <a:defRPr sz="1200"/>
            </a:pPr>
            <a:r>
              <a:rPr lang="en-US" sz="1200"/>
              <a:t>Single Adult</a:t>
            </a:r>
            <a:r>
              <a:rPr lang="en-US" sz="1200" baseline="0"/>
              <a:t>s</a:t>
            </a:r>
            <a:endParaRPr lang="en-US" sz="1200"/>
          </a:p>
        </c:rich>
      </c:tx>
      <c:layout>
        <c:manualLayout>
          <c:xMode val="edge"/>
          <c:yMode val="edge"/>
          <c:x val="0.54771084864391961"/>
          <c:y val="6.4671125410756224E-3"/>
        </c:manualLayout>
      </c:layout>
      <c:overlay val="0"/>
    </c:title>
    <c:autoTitleDeleted val="0"/>
    <c:plotArea>
      <c:layout>
        <c:manualLayout>
          <c:layoutTarget val="inner"/>
          <c:xMode val="edge"/>
          <c:yMode val="edge"/>
          <c:x val="0.10706146106736658"/>
          <c:y val="0.14333041703120444"/>
          <c:w val="0.48936461067367026"/>
          <c:h val="0.81560768445610965"/>
        </c:manualLayout>
      </c:layout>
      <c:pieChart>
        <c:varyColors val="1"/>
        <c:ser>
          <c:idx val="0"/>
          <c:order val="0"/>
          <c:dLbls>
            <c:spPr>
              <a:noFill/>
              <a:ln>
                <a:noFill/>
              </a:ln>
              <a:effectLst/>
            </c:spPr>
            <c:txPr>
              <a:bodyPr/>
              <a:lstStyle/>
              <a:p>
                <a:pPr>
                  <a:defRPr sz="12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Formulas!$D$59:$D$62</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8959864391951011"/>
          <c:y val="0.65501053137270604"/>
          <c:w val="0.40808770778652681"/>
          <c:h val="0.33486864788286347"/>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511" l="0.70000000000000062" r="0.70000000000000062" t="0.750000000000005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21B.Annual</a:t>
            </a:r>
            <a:r>
              <a:rPr lang="en-US" sz="1200" baseline="0"/>
              <a:t> </a:t>
            </a:r>
            <a:r>
              <a:rPr lang="en-US" sz="1200"/>
              <a:t>System Investment</a:t>
            </a:r>
          </a:p>
          <a:p>
            <a:pPr algn="r">
              <a:defRPr sz="1200"/>
            </a:pPr>
            <a:r>
              <a:rPr lang="en-US" sz="1200"/>
              <a:t>Family Households</a:t>
            </a:r>
          </a:p>
        </c:rich>
      </c:tx>
      <c:layout>
        <c:manualLayout>
          <c:xMode val="edge"/>
          <c:yMode val="edge"/>
          <c:x val="0.54903893263342496"/>
          <c:y val="1.2152646059976173E-2"/>
        </c:manualLayout>
      </c:layout>
      <c:overlay val="0"/>
    </c:title>
    <c:autoTitleDeleted val="0"/>
    <c:plotArea>
      <c:layout>
        <c:manualLayout>
          <c:layoutTarget val="inner"/>
          <c:xMode val="edge"/>
          <c:yMode val="edge"/>
          <c:x val="8.2061461067366628E-2"/>
          <c:y val="0.12018226888305629"/>
          <c:w val="0.49492016622922697"/>
          <c:h val="0.8248669437153624"/>
        </c:manualLayout>
      </c:layout>
      <c:pieChart>
        <c:varyColors val="1"/>
        <c:ser>
          <c:idx val="0"/>
          <c:order val="0"/>
          <c:dLbls>
            <c:spPr>
              <a:noFill/>
              <a:ln>
                <a:noFill/>
              </a:ln>
              <a:effectLst/>
            </c:spPr>
            <c:txPr>
              <a:bodyPr/>
              <a:lstStyle/>
              <a:p>
                <a:pPr>
                  <a:defRPr sz="12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Formulas!$E$59:$E$62</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237642169728544"/>
          <c:y val="0.69157016550613748"/>
          <c:w val="0.40531014873140858"/>
          <c:h val="0.30361889091982358"/>
        </c:manualLayout>
      </c:layout>
      <c:overlay val="0"/>
    </c:legend>
    <c:plotVisOnly val="1"/>
    <c:dispBlanksAs val="zero"/>
    <c:showDLblsOverMax val="0"/>
  </c:chart>
  <c:spPr>
    <a:solidFill>
      <a:srgbClr val="FFFF99">
        <a:alpha val="50000"/>
      </a:srgbClr>
    </a:solidFill>
  </c:spPr>
  <c:printSettings>
    <c:headerFooter/>
    <c:pageMargins b="0.75000000000000511" l="0.70000000000000062" r="0.70000000000000062" t="0.750000000000005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21C.Annual System Investment</a:t>
            </a:r>
          </a:p>
          <a:p>
            <a:pPr algn="r">
              <a:defRPr sz="1200"/>
            </a:pPr>
            <a:r>
              <a:rPr lang="en-US" sz="1200"/>
              <a:t>All Households</a:t>
            </a:r>
          </a:p>
        </c:rich>
      </c:tx>
      <c:layout>
        <c:manualLayout>
          <c:xMode val="edge"/>
          <c:yMode val="edge"/>
          <c:x val="0.54962817147856824"/>
          <c:y val="8.9586565148676977E-3"/>
        </c:manualLayout>
      </c:layout>
      <c:overlay val="0"/>
    </c:title>
    <c:autoTitleDeleted val="0"/>
    <c:plotArea>
      <c:layout>
        <c:manualLayout>
          <c:layoutTarget val="inner"/>
          <c:xMode val="edge"/>
          <c:yMode val="edge"/>
          <c:x val="7.6505905511811023E-2"/>
          <c:y val="0.11092300962379698"/>
          <c:w val="0.5088090551181168"/>
          <c:h val="0.84801509186351764"/>
        </c:manualLayout>
      </c:layout>
      <c:pieChart>
        <c:varyColors val="1"/>
        <c:ser>
          <c:idx val="0"/>
          <c:order val="0"/>
          <c:dLbls>
            <c:spPr>
              <a:noFill/>
              <a:ln>
                <a:noFill/>
              </a:ln>
              <a:effectLst/>
            </c:spPr>
            <c:txPr>
              <a:bodyPr/>
              <a:lstStyle/>
              <a:p>
                <a:pPr>
                  <a:defRPr sz="12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Formulas!$C$59:$C$62</c:f>
              <c:strCache>
                <c:ptCount val="4"/>
                <c:pt idx="0">
                  <c:v>Emergency Shelter</c:v>
                </c:pt>
                <c:pt idx="1">
                  <c:v>Transitional Housing</c:v>
                </c:pt>
                <c:pt idx="2">
                  <c:v>Rapid Re-Housing</c:v>
                </c:pt>
                <c:pt idx="3">
                  <c:v>Permanent Supportive Housing</c:v>
                </c:pt>
              </c:strCache>
            </c:strRef>
          </c:cat>
          <c:val>
            <c:numRef>
              <c:f>Formulas!$F$59:$F$62</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570975503062161"/>
          <c:y val="0.71068058353170982"/>
          <c:w val="0.42197681539807796"/>
          <c:h val="0.2780211194530916"/>
        </c:manualLayout>
      </c:layout>
      <c:overlay val="0"/>
    </c:legend>
    <c:plotVisOnly val="1"/>
    <c:dispBlanksAs val="zero"/>
    <c:showDLblsOverMax val="0"/>
  </c:chart>
  <c:spPr>
    <a:solidFill>
      <a:sysClr val="window" lastClr="FFFFFF">
        <a:lumMod val="95000"/>
        <a:alpha val="50000"/>
      </a:sysClr>
    </a:solidFill>
  </c:spPr>
  <c:printSettings>
    <c:headerFooter/>
    <c:pageMargins b="0.75000000000000511" l="0.70000000000000062" r="0.70000000000000062" t="0.75000000000000511" header="0.30000000000000032" footer="0.30000000000000032"/>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Formulas!$BD$26</c:f>
          <c:strCache>
            <c:ptCount val="1"/>
            <c:pt idx="0">
              <c:v>16A. Change in Permanent Housing Exits
Single Adults</c:v>
            </c:pt>
          </c:strCache>
        </c:strRef>
      </c:tx>
      <c:layout>
        <c:manualLayout>
          <c:xMode val="edge"/>
          <c:yMode val="edge"/>
          <c:x val="1.7041557305336921E-2"/>
          <c:y val="1.3877551912425101E-2"/>
        </c:manualLayout>
      </c:layout>
      <c:overlay val="0"/>
      <c:txPr>
        <a:bodyPr/>
        <a:lstStyle/>
        <a:p>
          <a:pPr algn="l">
            <a:defRPr sz="1200"/>
          </a:pPr>
          <a:endParaRPr lang="en-US"/>
        </a:p>
      </c:txPr>
    </c:title>
    <c:autoTitleDeleted val="0"/>
    <c:plotArea>
      <c:layout>
        <c:manualLayout>
          <c:layoutTarget val="inner"/>
          <c:xMode val="edge"/>
          <c:yMode val="edge"/>
          <c:x val="0.10136870772127426"/>
          <c:y val="0.22852867717791059"/>
          <c:w val="0.8750527102168616"/>
          <c:h val="0.58581481080817632"/>
        </c:manualLayout>
      </c:layout>
      <c:barChart>
        <c:barDir val="col"/>
        <c:grouping val="clustered"/>
        <c:varyColors val="0"/>
        <c:ser>
          <c:idx val="2"/>
          <c:order val="2"/>
          <c:tx>
            <c:strRef>
              <c:f>Formulas!$BI$25</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Formulas!$BE$26:$BE$29</c:f>
              <c:strCache>
                <c:ptCount val="4"/>
                <c:pt idx="0">
                  <c:v>ES</c:v>
                </c:pt>
                <c:pt idx="1">
                  <c:v>TH</c:v>
                </c:pt>
                <c:pt idx="2">
                  <c:v>RR</c:v>
                </c:pt>
                <c:pt idx="3">
                  <c:v>All Programs</c:v>
                </c:pt>
              </c:strCache>
            </c:strRef>
          </c:cat>
          <c:val>
            <c:numRef>
              <c:f>Formulas!$BI$26:$BI$29</c:f>
              <c:numCache>
                <c:formatCode>#,##0</c:formatCode>
                <c:ptCount val="4"/>
                <c:pt idx="0">
                  <c:v>265</c:v>
                </c:pt>
                <c:pt idx="1">
                  <c:v>98</c:v>
                </c:pt>
                <c:pt idx="2">
                  <c:v>112</c:v>
                </c:pt>
                <c:pt idx="3">
                  <c:v>475</c:v>
                </c:pt>
              </c:numCache>
            </c:numRef>
          </c:val>
        </c:ser>
        <c:ser>
          <c:idx val="3"/>
          <c:order val="3"/>
          <c:tx>
            <c:strRef>
              <c:f>Formulas!$BJ$25</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Formulas!$BE$26:$BE$29</c:f>
              <c:strCache>
                <c:ptCount val="4"/>
                <c:pt idx="0">
                  <c:v>ES</c:v>
                </c:pt>
                <c:pt idx="1">
                  <c:v>TH</c:v>
                </c:pt>
                <c:pt idx="2">
                  <c:v>RR</c:v>
                </c:pt>
                <c:pt idx="3">
                  <c:v>All Programs</c:v>
                </c:pt>
              </c:strCache>
            </c:strRef>
          </c:cat>
          <c:val>
            <c:numRef>
              <c:f>Formulas!$BJ$26:$BJ$29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150"/>
        <c:axId val="596315256"/>
        <c:axId val="596307808"/>
      </c:barChart>
      <c:barChart>
        <c:barDir val="col"/>
        <c:grouping val="clustered"/>
        <c:varyColors val="0"/>
        <c:ser>
          <c:idx val="0"/>
          <c:order val="0"/>
          <c:tx>
            <c:strRef>
              <c:f>Formulas!$BF$25</c:f>
              <c:strCache>
                <c:ptCount val="1"/>
                <c:pt idx="0">
                  <c:v>Current PH Exits</c:v>
                </c:pt>
              </c:strCache>
            </c:strRef>
          </c:tx>
          <c:invertIfNegative val="0"/>
          <c:cat>
            <c:strRef>
              <c:f>Formulas!$BE$26:$BE$29</c:f>
              <c:strCache>
                <c:ptCount val="4"/>
                <c:pt idx="0">
                  <c:v>ES</c:v>
                </c:pt>
                <c:pt idx="1">
                  <c:v>TH</c:v>
                </c:pt>
                <c:pt idx="2">
                  <c:v>RR</c:v>
                </c:pt>
                <c:pt idx="3">
                  <c:v>All Programs</c:v>
                </c:pt>
              </c:strCache>
            </c:strRef>
          </c:cat>
          <c:val>
            <c:numRef>
              <c:f>Formulas!$BF$26:$BF$29</c:f>
              <c:numCache>
                <c:formatCode>#,##0</c:formatCode>
                <c:ptCount val="4"/>
                <c:pt idx="0">
                  <c:v>265</c:v>
                </c:pt>
                <c:pt idx="1">
                  <c:v>98</c:v>
                </c:pt>
                <c:pt idx="2">
                  <c:v>112</c:v>
                </c:pt>
                <c:pt idx="3">
                  <c:v>475</c:v>
                </c:pt>
              </c:numCache>
            </c:numRef>
          </c:val>
        </c:ser>
        <c:ser>
          <c:idx val="1"/>
          <c:order val="1"/>
          <c:tx>
            <c:strRef>
              <c:f>Formulas!$BG$25</c:f>
              <c:strCache>
                <c:ptCount val="1"/>
                <c:pt idx="0">
                  <c:v>New PH Exits</c:v>
                </c:pt>
              </c:strCache>
            </c:strRef>
          </c:tx>
          <c:invertIfNegative val="0"/>
          <c:dLbls>
            <c:dLbl>
              <c:idx val="0"/>
              <c:tx>
                <c:strRef>
                  <c:f>Formulas!$BH$26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{B81DEEA8-FFAB-4CF8-90D3-070343ECE86C}</c15:txfldGUID>
                      <c15:f>Formulas!$BH$26</c15:f>
                      <c15:dlblFieldTableCache>
                        <c:ptCount val="1"/>
                      </c15:dlblFieldTableCache>
                    </c15:dlblFTEntry>
                  </c15:dlblFieldTable>
                  <c15:showDataLabelsRange val="0"/>
                </c:ext>
              </c:extLst>
            </c:dLbl>
            <c:dLbl>
              <c:idx val="1"/>
              <c:tx>
                <c:strRef>
                  <c:f>Formulas!$BH$27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{6E05F27F-7916-4113-BEAE-84D59F12D67B}</c15:txfldGUID>
                      <c15:f>Formulas!$BH$27</c15:f>
                      <c15:dlblFieldTableCache>
                        <c:ptCount val="1"/>
                      </c15:dlblFieldTableCache>
                    </c15:dlblFTEntry>
                  </c15:dlblFieldTable>
                  <c15:showDataLabelsRange val="0"/>
                </c:ext>
              </c:extLst>
            </c:dLbl>
            <c:dLbl>
              <c:idx val="2"/>
              <c:tx>
                <c:strRef>
                  <c:f>Formulas!$BH$28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{795D528A-D4E7-4126-A2A8-9646D80D5DE5}</c15:txfldGUID>
                      <c15:f>Formulas!$BH$28</c15:f>
                      <c15:dlblFieldTableCache>
                        <c:ptCount val="1"/>
                      </c15:dlblFieldTableCache>
                    </c15:dlblFTEntry>
                  </c15:dlblFieldTable>
                  <c15:showDataLabelsRange val="0"/>
                </c:ext>
              </c:extLst>
            </c:dLbl>
            <c:dLbl>
              <c:idx val="3"/>
              <c:tx>
                <c:strRef>
                  <c:f>Formulas!$BH$29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{6D562560-F45A-4B2B-908B-1D570A9E453A}</c15:txfldGUID>
                      <c15:f>Formulas!$BH$29</c15:f>
                      <c15:dlblFieldTableCache>
                        <c:ptCount val="1"/>
                      </c15:dlblFieldTableCache>
                    </c15:dlblFTEntry>
                  </c15:dlblFieldTable>
                  <c15:showDataLabelsRange val="0"/>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Formulas!$BE$26:$BE$29</c:f>
              <c:strCache>
                <c:ptCount val="4"/>
                <c:pt idx="0">
                  <c:v>ES</c:v>
                </c:pt>
                <c:pt idx="1">
                  <c:v>TH</c:v>
                </c:pt>
                <c:pt idx="2">
                  <c:v>RR</c:v>
                </c:pt>
                <c:pt idx="3">
                  <c:v>All Programs</c:v>
                </c:pt>
              </c:strCache>
            </c:strRef>
          </c:cat>
          <c:val>
            <c:numRef>
              <c:f>Formulas!$BG$26:$BG$29</c:f>
              <c:numCache>
                <c:formatCode>#,##0</c:formatCode>
                <c:ptCount val="4"/>
                <c:pt idx="0">
                  <c:v>265</c:v>
                </c:pt>
                <c:pt idx="1">
                  <c:v>97.999999999999986</c:v>
                </c:pt>
                <c:pt idx="2">
                  <c:v>112</c:v>
                </c:pt>
                <c:pt idx="3">
                  <c:v>475</c:v>
                </c:pt>
              </c:numCache>
            </c:numRef>
          </c:val>
        </c:ser>
        <c:dLbls>
          <c:showLegendKey val="0"/>
          <c:showVal val="0"/>
          <c:showCatName val="0"/>
          <c:showSerName val="0"/>
          <c:showPercent val="0"/>
          <c:showBubbleSize val="0"/>
        </c:dLbls>
        <c:gapWidth val="150"/>
        <c:axId val="596310944"/>
        <c:axId val="596304280"/>
      </c:barChart>
      <c:catAx>
        <c:axId val="596315256"/>
        <c:scaling>
          <c:orientation val="minMax"/>
        </c:scaling>
        <c:delete val="0"/>
        <c:axPos val="b"/>
        <c:numFmt formatCode="General" sourceLinked="0"/>
        <c:majorTickMark val="out"/>
        <c:minorTickMark val="none"/>
        <c:tickLblPos val="nextTo"/>
        <c:crossAx val="596307808"/>
        <c:crosses val="autoZero"/>
        <c:auto val="1"/>
        <c:lblAlgn val="ctr"/>
        <c:lblOffset val="100"/>
        <c:noMultiLvlLbl val="0"/>
      </c:catAx>
      <c:valAx>
        <c:axId val="596307808"/>
        <c:scaling>
          <c:orientation val="minMax"/>
        </c:scaling>
        <c:delete val="0"/>
        <c:axPos val="l"/>
        <c:majorGridlines/>
        <c:numFmt formatCode="#,##0" sourceLinked="1"/>
        <c:majorTickMark val="out"/>
        <c:minorTickMark val="none"/>
        <c:tickLblPos val="nextTo"/>
        <c:crossAx val="596315256"/>
        <c:crosses val="autoZero"/>
        <c:crossBetween val="between"/>
      </c:valAx>
      <c:valAx>
        <c:axId val="596304280"/>
        <c:scaling>
          <c:orientation val="minMax"/>
        </c:scaling>
        <c:delete val="1"/>
        <c:axPos val="r"/>
        <c:numFmt formatCode="#,##0" sourceLinked="1"/>
        <c:majorTickMark val="out"/>
        <c:minorTickMark val="none"/>
        <c:tickLblPos val="none"/>
        <c:crossAx val="596310944"/>
        <c:crosses val="max"/>
        <c:crossBetween val="between"/>
      </c:valAx>
      <c:catAx>
        <c:axId val="596310944"/>
        <c:scaling>
          <c:orientation val="minMax"/>
        </c:scaling>
        <c:delete val="1"/>
        <c:axPos val="b"/>
        <c:numFmt formatCode="General" sourceLinked="1"/>
        <c:majorTickMark val="out"/>
        <c:minorTickMark val="none"/>
        <c:tickLblPos val="none"/>
        <c:crossAx val="596304280"/>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ayout>
        <c:manualLayout>
          <c:xMode val="edge"/>
          <c:yMode val="edge"/>
          <c:x val="9.3543307086614708E-3"/>
          <c:y val="0.91635114358676806"/>
          <c:w val="0.47018000874890636"/>
          <c:h val="8.3648856413232955E-2"/>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389" l="0.70000000000000062" r="0.70000000000000062" t="0.7500000000000038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Formulas!$BD$75</c:f>
          <c:strCache>
            <c:ptCount val="1"/>
            <c:pt idx="0">
              <c:v>19A. Rate of Return to Homelessness
Single Adults</c:v>
            </c:pt>
          </c:strCache>
        </c:strRef>
      </c:tx>
      <c:overlay val="0"/>
      <c:txPr>
        <a:bodyPr/>
        <a:lstStyle/>
        <a:p>
          <a:pPr>
            <a:defRPr sz="1200"/>
          </a:pPr>
          <a:endParaRPr lang="en-US"/>
        </a:p>
      </c:txPr>
    </c:title>
    <c:autoTitleDeleted val="0"/>
    <c:plotArea>
      <c:layout>
        <c:manualLayout>
          <c:layoutTarget val="inner"/>
          <c:xMode val="edge"/>
          <c:yMode val="edge"/>
          <c:x val="9.1849518810148481E-2"/>
          <c:y val="0.25110273682707557"/>
          <c:w val="0.87759492563429575"/>
          <c:h val="0.53916345710453961"/>
        </c:manualLayout>
      </c:layout>
      <c:barChart>
        <c:barDir val="col"/>
        <c:grouping val="clustered"/>
        <c:varyColors val="0"/>
        <c:ser>
          <c:idx val="2"/>
          <c:order val="2"/>
          <c:tx>
            <c:strRef>
              <c:f>Formulas!$BI$74</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Formulas!$BE$75:$BE$78</c:f>
              <c:strCache>
                <c:ptCount val="4"/>
                <c:pt idx="0">
                  <c:v>ES</c:v>
                </c:pt>
                <c:pt idx="1">
                  <c:v>TH</c:v>
                </c:pt>
                <c:pt idx="2">
                  <c:v>RR</c:v>
                </c:pt>
                <c:pt idx="3">
                  <c:v>All Programs</c:v>
                </c:pt>
              </c:strCache>
            </c:strRef>
          </c:cat>
          <c:val>
            <c:numRef>
              <c:f>Formulas!$BI$75:$BI$78</c:f>
              <c:numCache>
                <c:formatCode>0%</c:formatCode>
                <c:ptCount val="4"/>
                <c:pt idx="0">
                  <c:v>0.14716981132075471</c:v>
                </c:pt>
                <c:pt idx="1">
                  <c:v>7.1428571428571425E-2</c:v>
                </c:pt>
                <c:pt idx="2">
                  <c:v>8.9285714285714288E-2</c:v>
                </c:pt>
                <c:pt idx="3">
                  <c:v>0.10262803234501348</c:v>
                </c:pt>
              </c:numCache>
            </c:numRef>
          </c:val>
        </c:ser>
        <c:ser>
          <c:idx val="3"/>
          <c:order val="3"/>
          <c:tx>
            <c:strRef>
              <c:f>Formulas!$BJ$74</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Formulas!$BE$75:$BE$78</c:f>
              <c:strCache>
                <c:ptCount val="4"/>
                <c:pt idx="0">
                  <c:v>ES</c:v>
                </c:pt>
                <c:pt idx="1">
                  <c:v>TH</c:v>
                </c:pt>
                <c:pt idx="2">
                  <c:v>RR</c:v>
                </c:pt>
                <c:pt idx="3">
                  <c:v>All Programs</c:v>
                </c:pt>
              </c:strCache>
            </c:strRef>
          </c:cat>
          <c:val>
            <c:numRef>
              <c:f>Formulas!$BJ$75:$BJ$78</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150"/>
        <c:axId val="596304672"/>
        <c:axId val="596305064"/>
      </c:barChart>
      <c:barChart>
        <c:barDir val="col"/>
        <c:grouping val="clustered"/>
        <c:varyColors val="0"/>
        <c:ser>
          <c:idx val="0"/>
          <c:order val="0"/>
          <c:tx>
            <c:strRef>
              <c:f>Formulas!$BF$74</c:f>
              <c:strCache>
                <c:ptCount val="1"/>
                <c:pt idx="0">
                  <c:v>Current</c:v>
                </c:pt>
              </c:strCache>
            </c:strRef>
          </c:tx>
          <c:invertIfNegative val="0"/>
          <c:cat>
            <c:strRef>
              <c:f>Formulas!$BE$75:$BE$78</c:f>
              <c:strCache>
                <c:ptCount val="4"/>
                <c:pt idx="0">
                  <c:v>ES</c:v>
                </c:pt>
                <c:pt idx="1">
                  <c:v>TH</c:v>
                </c:pt>
                <c:pt idx="2">
                  <c:v>RR</c:v>
                </c:pt>
                <c:pt idx="3">
                  <c:v>All Programs</c:v>
                </c:pt>
              </c:strCache>
            </c:strRef>
          </c:cat>
          <c:val>
            <c:numRef>
              <c:f>Formulas!$BF$75:$BF$78</c:f>
              <c:numCache>
                <c:formatCode>0%</c:formatCode>
                <c:ptCount val="4"/>
                <c:pt idx="0">
                  <c:v>0.14716981132075471</c:v>
                </c:pt>
                <c:pt idx="1">
                  <c:v>7.1428571428571425E-2</c:v>
                </c:pt>
                <c:pt idx="2">
                  <c:v>8.9285714285714288E-2</c:v>
                </c:pt>
                <c:pt idx="3">
                  <c:v>0.10262803234501348</c:v>
                </c:pt>
              </c:numCache>
            </c:numRef>
          </c:val>
        </c:ser>
        <c:ser>
          <c:idx val="1"/>
          <c:order val="1"/>
          <c:tx>
            <c:strRef>
              <c:f>Formulas!$BG$74</c:f>
              <c:strCache>
                <c:ptCount val="1"/>
                <c:pt idx="0">
                  <c:v>New</c:v>
                </c:pt>
              </c:strCache>
            </c:strRef>
          </c:tx>
          <c:invertIfNegative val="0"/>
          <c:cat>
            <c:strRef>
              <c:f>Formulas!$BE$75:$BE$78</c:f>
              <c:strCache>
                <c:ptCount val="4"/>
                <c:pt idx="0">
                  <c:v>ES</c:v>
                </c:pt>
                <c:pt idx="1">
                  <c:v>TH</c:v>
                </c:pt>
                <c:pt idx="2">
                  <c:v>RR</c:v>
                </c:pt>
                <c:pt idx="3">
                  <c:v>All Programs</c:v>
                </c:pt>
              </c:strCache>
            </c:strRef>
          </c:cat>
          <c:val>
            <c:numRef>
              <c:f>Formulas!$BG$75:$BG$78</c:f>
              <c:numCache>
                <c:formatCode>0%</c:formatCode>
                <c:ptCount val="4"/>
                <c:pt idx="0">
                  <c:v>0.14716981132075471</c:v>
                </c:pt>
                <c:pt idx="1">
                  <c:v>7.1428571428571425E-2</c:v>
                </c:pt>
                <c:pt idx="2">
                  <c:v>8.9285714285714288E-2</c:v>
                </c:pt>
                <c:pt idx="3">
                  <c:v>0.10262803234501348</c:v>
                </c:pt>
              </c:numCache>
            </c:numRef>
          </c:val>
        </c:ser>
        <c:dLbls>
          <c:showLegendKey val="0"/>
          <c:showVal val="0"/>
          <c:showCatName val="0"/>
          <c:showSerName val="0"/>
          <c:showPercent val="0"/>
          <c:showBubbleSize val="0"/>
        </c:dLbls>
        <c:gapWidth val="150"/>
        <c:axId val="596310160"/>
        <c:axId val="596305456"/>
      </c:barChart>
      <c:catAx>
        <c:axId val="596304672"/>
        <c:scaling>
          <c:orientation val="minMax"/>
        </c:scaling>
        <c:delete val="0"/>
        <c:axPos val="b"/>
        <c:numFmt formatCode="General" sourceLinked="0"/>
        <c:majorTickMark val="out"/>
        <c:minorTickMark val="none"/>
        <c:tickLblPos val="nextTo"/>
        <c:crossAx val="596305064"/>
        <c:crosses val="autoZero"/>
        <c:auto val="1"/>
        <c:lblAlgn val="ctr"/>
        <c:lblOffset val="100"/>
        <c:noMultiLvlLbl val="0"/>
      </c:catAx>
      <c:valAx>
        <c:axId val="596305064"/>
        <c:scaling>
          <c:orientation val="minMax"/>
        </c:scaling>
        <c:delete val="0"/>
        <c:axPos val="l"/>
        <c:majorGridlines/>
        <c:numFmt formatCode="0%" sourceLinked="1"/>
        <c:majorTickMark val="out"/>
        <c:minorTickMark val="none"/>
        <c:tickLblPos val="nextTo"/>
        <c:crossAx val="596304672"/>
        <c:crosses val="autoZero"/>
        <c:crossBetween val="between"/>
      </c:valAx>
      <c:valAx>
        <c:axId val="596305456"/>
        <c:scaling>
          <c:orientation val="minMax"/>
        </c:scaling>
        <c:delete val="1"/>
        <c:axPos val="r"/>
        <c:numFmt formatCode="0%" sourceLinked="1"/>
        <c:majorTickMark val="out"/>
        <c:minorTickMark val="none"/>
        <c:tickLblPos val="none"/>
        <c:crossAx val="596310160"/>
        <c:crosses val="max"/>
        <c:crossBetween val="between"/>
      </c:valAx>
      <c:catAx>
        <c:axId val="596310160"/>
        <c:scaling>
          <c:orientation val="minMax"/>
        </c:scaling>
        <c:delete val="1"/>
        <c:axPos val="b"/>
        <c:numFmt formatCode="General" sourceLinked="1"/>
        <c:majorTickMark val="out"/>
        <c:minorTickMark val="none"/>
        <c:tickLblPos val="none"/>
        <c:crossAx val="596305456"/>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overlay val="0"/>
    </c:legend>
    <c:plotVisOnly val="1"/>
    <c:dispBlanksAs val="gap"/>
    <c:showDLblsOverMax val="0"/>
  </c:chart>
  <c:spPr>
    <a:solidFill>
      <a:srgbClr val="C0504D">
        <a:lumMod val="40000"/>
        <a:lumOff val="60000"/>
        <a:alpha val="25000"/>
      </a:srgbClr>
    </a:solidFill>
  </c:spPr>
  <c:printSettings>
    <c:headerFooter/>
    <c:pageMargins b="0.75000000000000411" l="0.70000000000000062" r="0.70000000000000062" t="0.7500000000000041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Formulas!$BD$99</c:f>
          <c:strCache>
            <c:ptCount val="1"/>
            <c:pt idx="0">
              <c:v>20A. Change in Permanent Housing Exits that "Stick"
Single Adults</c:v>
            </c:pt>
          </c:strCache>
        </c:strRef>
      </c:tx>
      <c:layout>
        <c:manualLayout>
          <c:xMode val="edge"/>
          <c:yMode val="edge"/>
          <c:x val="7.0575415031809184E-3"/>
          <c:y val="4.2712160979877919E-3"/>
        </c:manualLayout>
      </c:layout>
      <c:overlay val="0"/>
      <c:txPr>
        <a:bodyPr/>
        <a:lstStyle/>
        <a:p>
          <a:pPr algn="l">
            <a:defRPr sz="1200"/>
          </a:pPr>
          <a:endParaRPr lang="en-US"/>
        </a:p>
      </c:txPr>
    </c:title>
    <c:autoTitleDeleted val="0"/>
    <c:plotArea>
      <c:layout>
        <c:manualLayout>
          <c:layoutTarget val="inner"/>
          <c:xMode val="edge"/>
          <c:yMode val="edge"/>
          <c:x val="8.3282290713950158E-2"/>
          <c:y val="0.24125564304461938"/>
          <c:w val="0.8645539765301774"/>
          <c:h val="0.56444444444444464"/>
        </c:manualLayout>
      </c:layout>
      <c:barChart>
        <c:barDir val="col"/>
        <c:grouping val="clustered"/>
        <c:varyColors val="0"/>
        <c:ser>
          <c:idx val="4"/>
          <c:order val="4"/>
          <c:tx>
            <c:strRef>
              <c:f>Formulas!$BL$97:$BL$98</c:f>
              <c:strCache>
                <c:ptCount val="2"/>
                <c:pt idx="0">
                  <c:v>Current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Formulas!$BL$99:$BL$110</c:f>
              <c:numCache>
                <c:formatCode>General</c:formatCode>
                <c:ptCount val="12"/>
                <c:pt idx="0" formatCode="#,##0">
                  <c:v>265</c:v>
                </c:pt>
                <c:pt idx="3" formatCode="#,##0">
                  <c:v>98</c:v>
                </c:pt>
                <c:pt idx="6" formatCode="#,##0">
                  <c:v>112</c:v>
                </c:pt>
                <c:pt idx="9" formatCode="#,##0">
                  <c:v>475</c:v>
                </c:pt>
              </c:numCache>
            </c:numRef>
          </c:val>
        </c:ser>
        <c:ser>
          <c:idx val="5"/>
          <c:order val="5"/>
          <c:tx>
            <c:strRef>
              <c:f>Formulas!$BM$97:$BM$98</c:f>
              <c:strCache>
                <c:ptCount val="2"/>
                <c:pt idx="0">
                  <c:v>Current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Formulas!$BM$99:$BM$110</c:f>
              <c:numCache>
                <c:formatCode>General</c:formatCode>
                <c:ptCount val="12"/>
                <c:pt idx="0" formatCode="#,##0">
                  <c:v>226</c:v>
                </c:pt>
                <c:pt idx="3" formatCode="#,##0">
                  <c:v>91</c:v>
                </c:pt>
                <c:pt idx="6" formatCode="#,##0">
                  <c:v>102</c:v>
                </c:pt>
                <c:pt idx="9" formatCode="#,##0">
                  <c:v>419</c:v>
                </c:pt>
              </c:numCache>
            </c:numRef>
          </c:val>
        </c:ser>
        <c:ser>
          <c:idx val="6"/>
          <c:order val="6"/>
          <c:tx>
            <c:strRef>
              <c:f>Formulas!$BN$97:$BN$98</c:f>
              <c:strCache>
                <c:ptCount val="2"/>
                <c:pt idx="0">
                  <c:v>New Returns</c:v>
                </c:pt>
              </c:strCache>
            </c:strRef>
          </c:tx>
          <c:invertIfNegative val="0"/>
          <c:dLbls>
            <c:delete val="1"/>
          </c:dLbls>
          <c:cat>
            <c:strRef>
              <c:f>Formulas!$BE$99:$BE$110</c:f>
              <c:strCache>
                <c:ptCount val="10"/>
                <c:pt idx="0">
                  <c:v>ES</c:v>
                </c:pt>
                <c:pt idx="3">
                  <c:v>TH</c:v>
                </c:pt>
                <c:pt idx="6">
                  <c:v>RR</c:v>
                </c:pt>
                <c:pt idx="9">
                  <c:v>All Programs</c:v>
                </c:pt>
              </c:strCache>
            </c:strRef>
          </c:cat>
          <c:val>
            <c:numRef>
              <c:f>Formulas!$BN$99:$BN$110</c:f>
              <c:numCache>
                <c:formatCode>#,##0</c:formatCode>
                <c:ptCount val="12"/>
                <c:pt idx="1">
                  <c:v>265</c:v>
                </c:pt>
                <c:pt idx="4">
                  <c:v>97.999999999999986</c:v>
                </c:pt>
                <c:pt idx="7">
                  <c:v>112</c:v>
                </c:pt>
                <c:pt idx="10">
                  <c:v>475</c:v>
                </c:pt>
              </c:numCache>
            </c:numRef>
          </c:val>
        </c:ser>
        <c:ser>
          <c:idx val="7"/>
          <c:order val="7"/>
          <c:tx>
            <c:strRef>
              <c:f>Formulas!$BO$97:$BO$98</c:f>
              <c:strCache>
                <c:ptCount val="2"/>
                <c:pt idx="0">
                  <c:v>New PH Exits that "Stick"</c:v>
                </c:pt>
              </c:strCache>
            </c:strRef>
          </c:tx>
          <c:invertIfNegative val="0"/>
          <c:dLbls>
            <c:delete val="1"/>
          </c:dLbls>
          <c:cat>
            <c:strRef>
              <c:f>Formulas!$BE$99:$BE$110</c:f>
              <c:strCache>
                <c:ptCount val="10"/>
                <c:pt idx="0">
                  <c:v>ES</c:v>
                </c:pt>
                <c:pt idx="3">
                  <c:v>TH</c:v>
                </c:pt>
                <c:pt idx="6">
                  <c:v>RR</c:v>
                </c:pt>
                <c:pt idx="9">
                  <c:v>All Programs</c:v>
                </c:pt>
              </c:strCache>
            </c:strRef>
          </c:cat>
          <c:val>
            <c:numRef>
              <c:f>Formulas!$BO$99:$BO$110</c:f>
              <c:numCache>
                <c:formatCode>#,##0</c:formatCode>
                <c:ptCount val="12"/>
                <c:pt idx="1">
                  <c:v>226</c:v>
                </c:pt>
                <c:pt idx="4">
                  <c:v>90.999999999999986</c:v>
                </c:pt>
                <c:pt idx="7">
                  <c:v>102</c:v>
                </c:pt>
                <c:pt idx="10">
                  <c:v>419</c:v>
                </c:pt>
              </c:numCache>
            </c:numRef>
          </c:val>
        </c:ser>
        <c:dLbls>
          <c:showLegendKey val="0"/>
          <c:showVal val="1"/>
          <c:showCatName val="0"/>
          <c:showSerName val="0"/>
          <c:showPercent val="0"/>
          <c:showBubbleSize val="0"/>
        </c:dLbls>
        <c:gapWidth val="150"/>
        <c:axId val="596312120"/>
        <c:axId val="596314080"/>
      </c:barChart>
      <c:barChart>
        <c:barDir val="col"/>
        <c:grouping val="clustered"/>
        <c:varyColors val="0"/>
        <c:ser>
          <c:idx val="0"/>
          <c:order val="0"/>
          <c:tx>
            <c:strRef>
              <c:f>Formulas!$BF$97:$BF$98</c:f>
              <c:strCache>
                <c:ptCount val="2"/>
                <c:pt idx="0">
                  <c:v>Current Returns</c:v>
                </c:pt>
              </c:strCache>
            </c:strRef>
          </c:tx>
          <c:spPr>
            <a:solidFill>
              <a:schemeClr val="accent1">
                <a:lumMod val="40000"/>
                <a:lumOff val="60000"/>
              </a:schemeClr>
            </a:solidFill>
          </c:spPr>
          <c:invertIfNegative val="0"/>
          <c:cat>
            <c:strRef>
              <c:f>Formulas!$BE$99:$BE$110</c:f>
              <c:strCache>
                <c:ptCount val="10"/>
                <c:pt idx="0">
                  <c:v>ES</c:v>
                </c:pt>
                <c:pt idx="3">
                  <c:v>TH</c:v>
                </c:pt>
                <c:pt idx="6">
                  <c:v>RR</c:v>
                </c:pt>
                <c:pt idx="9">
                  <c:v>All Programs</c:v>
                </c:pt>
              </c:strCache>
            </c:strRef>
          </c:cat>
          <c:val>
            <c:numRef>
              <c:f>Formulas!$BF$99:$BF$110</c:f>
              <c:numCache>
                <c:formatCode>General</c:formatCode>
                <c:ptCount val="12"/>
                <c:pt idx="0" formatCode="#,##0">
                  <c:v>265</c:v>
                </c:pt>
                <c:pt idx="3" formatCode="#,##0">
                  <c:v>98</c:v>
                </c:pt>
                <c:pt idx="6" formatCode="#,##0">
                  <c:v>112</c:v>
                </c:pt>
                <c:pt idx="9" formatCode="#,##0">
                  <c:v>475</c:v>
                </c:pt>
              </c:numCache>
            </c:numRef>
          </c:val>
        </c:ser>
        <c:ser>
          <c:idx val="1"/>
          <c:order val="1"/>
          <c:tx>
            <c:strRef>
              <c:f>Formulas!$BG$97:$BG$98</c:f>
              <c:strCache>
                <c:ptCount val="2"/>
                <c:pt idx="0">
                  <c:v>Current PH Exits that "Stick"</c:v>
                </c:pt>
              </c:strCache>
            </c:strRef>
          </c:tx>
          <c:spPr>
            <a:solidFill>
              <a:schemeClr val="accent1">
                <a:lumMod val="75000"/>
              </a:schemeClr>
            </a:solidFill>
          </c:spPr>
          <c:invertIfNegative val="0"/>
          <c:cat>
            <c:strRef>
              <c:f>Formulas!$BE$99:$BE$110</c:f>
              <c:strCache>
                <c:ptCount val="10"/>
                <c:pt idx="0">
                  <c:v>ES</c:v>
                </c:pt>
                <c:pt idx="3">
                  <c:v>TH</c:v>
                </c:pt>
                <c:pt idx="6">
                  <c:v>RR</c:v>
                </c:pt>
                <c:pt idx="9">
                  <c:v>All Programs</c:v>
                </c:pt>
              </c:strCache>
            </c:strRef>
          </c:cat>
          <c:val>
            <c:numRef>
              <c:f>Formulas!$BG$99:$BG$110</c:f>
              <c:numCache>
                <c:formatCode>General</c:formatCode>
                <c:ptCount val="12"/>
                <c:pt idx="0" formatCode="#,##0">
                  <c:v>226</c:v>
                </c:pt>
                <c:pt idx="3" formatCode="#,##0">
                  <c:v>91</c:v>
                </c:pt>
                <c:pt idx="6" formatCode="#,##0">
                  <c:v>102</c:v>
                </c:pt>
                <c:pt idx="9" formatCode="#,##0">
                  <c:v>419</c:v>
                </c:pt>
              </c:numCache>
            </c:numRef>
          </c:val>
        </c:ser>
        <c:ser>
          <c:idx val="2"/>
          <c:order val="2"/>
          <c:tx>
            <c:strRef>
              <c:f>Formulas!$BH$97:$BH$98</c:f>
              <c:strCache>
                <c:ptCount val="2"/>
                <c:pt idx="0">
                  <c:v>New Returns</c:v>
                </c:pt>
              </c:strCache>
            </c:strRef>
          </c:tx>
          <c:spPr>
            <a:solidFill>
              <a:schemeClr val="accent3">
                <a:lumMod val="40000"/>
                <a:lumOff val="60000"/>
              </a:schemeClr>
            </a:solidFill>
          </c:spPr>
          <c:invertIfNegative val="0"/>
          <c:dLbls>
            <c:dLbl>
              <c:idx val="1"/>
              <c:tx>
                <c:strRef>
                  <c:f>Formulas!$BK$99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{B6EEA3E6-A6EE-4365-92DB-C78664D162D0}</c15:txfldGUID>
                      <c15:f>Formulas!$BK$99</c15:f>
                      <c15:dlblFieldTableCache>
                        <c:ptCount val="1"/>
                      </c15:dlblFieldTableCache>
                    </c15:dlblFTEntry>
                  </c15:dlblFieldTable>
                  <c15:showDataLabelsRange val="0"/>
                </c:ext>
              </c:extLst>
            </c:dLbl>
            <c:dLbl>
              <c:idx val="4"/>
              <c:tx>
                <c:strRef>
                  <c:f>Formulas!$BK$102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{C196F9A4-6F76-450A-BAD4-847608DFD6AE}</c15:txfldGUID>
                      <c15:f>Formulas!$BK$102</c15:f>
                      <c15:dlblFieldTableCache>
                        <c:ptCount val="1"/>
                      </c15:dlblFieldTableCache>
                    </c15:dlblFTEntry>
                  </c15:dlblFieldTable>
                  <c15:showDataLabelsRange val="0"/>
                </c:ext>
              </c:extLst>
            </c:dLbl>
            <c:dLbl>
              <c:idx val="7"/>
              <c:tx>
                <c:strRef>
                  <c:f>Formulas!$BK$105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{3DB4024A-187E-4EC9-927A-9687B5056AC2}</c15:txfldGUID>
                      <c15:f>Formulas!$BK$105</c15:f>
                      <c15:dlblFieldTableCache>
                        <c:ptCount val="1"/>
                      </c15:dlblFieldTableCache>
                    </c15:dlblFTEntry>
                  </c15:dlblFieldTable>
                  <c15:showDataLabelsRange val="0"/>
                </c:ext>
              </c:extLst>
            </c:dLbl>
            <c:dLbl>
              <c:idx val="10"/>
              <c:tx>
                <c:strRef>
                  <c:f>Formulas!$BK$108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{68828550-97B7-433D-8B13-571F820B886C}</c15:txfldGUID>
                      <c15:f>Formulas!$BK$108</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Formulas!$BE$99:$BE$110</c:f>
              <c:strCache>
                <c:ptCount val="10"/>
                <c:pt idx="0">
                  <c:v>ES</c:v>
                </c:pt>
                <c:pt idx="3">
                  <c:v>TH</c:v>
                </c:pt>
                <c:pt idx="6">
                  <c:v>RR</c:v>
                </c:pt>
                <c:pt idx="9">
                  <c:v>All Programs</c:v>
                </c:pt>
              </c:strCache>
            </c:strRef>
          </c:cat>
          <c:val>
            <c:numRef>
              <c:f>Formulas!$BH$99:$BH$110</c:f>
              <c:numCache>
                <c:formatCode>#,##0</c:formatCode>
                <c:ptCount val="12"/>
                <c:pt idx="1">
                  <c:v>265</c:v>
                </c:pt>
                <c:pt idx="4">
                  <c:v>97.999999999999986</c:v>
                </c:pt>
                <c:pt idx="7">
                  <c:v>112</c:v>
                </c:pt>
                <c:pt idx="10">
                  <c:v>475</c:v>
                </c:pt>
              </c:numCache>
            </c:numRef>
          </c:val>
        </c:ser>
        <c:ser>
          <c:idx val="3"/>
          <c:order val="3"/>
          <c:tx>
            <c:strRef>
              <c:f>Formulas!$BI$97:$BI$98</c:f>
              <c:strCache>
                <c:ptCount val="2"/>
                <c:pt idx="0">
                  <c:v>New PH Exits that "Stick"</c:v>
                </c:pt>
              </c:strCache>
            </c:strRef>
          </c:tx>
          <c:spPr>
            <a:solidFill>
              <a:schemeClr val="accent3">
                <a:lumMod val="75000"/>
              </a:schemeClr>
            </a:solidFill>
          </c:spPr>
          <c:invertIfNegative val="0"/>
          <c:cat>
            <c:strRef>
              <c:f>Formulas!$BE$99:$BE$110</c:f>
              <c:strCache>
                <c:ptCount val="10"/>
                <c:pt idx="0">
                  <c:v>ES</c:v>
                </c:pt>
                <c:pt idx="3">
                  <c:v>TH</c:v>
                </c:pt>
                <c:pt idx="6">
                  <c:v>RR</c:v>
                </c:pt>
                <c:pt idx="9">
                  <c:v>All Programs</c:v>
                </c:pt>
              </c:strCache>
            </c:strRef>
          </c:cat>
          <c:val>
            <c:numRef>
              <c:f>Formulas!$BI$99:$BI$110</c:f>
              <c:numCache>
                <c:formatCode>#,##0</c:formatCode>
                <c:ptCount val="12"/>
                <c:pt idx="1">
                  <c:v>226</c:v>
                </c:pt>
                <c:pt idx="4">
                  <c:v>90.999999999999986</c:v>
                </c:pt>
                <c:pt idx="7">
                  <c:v>102</c:v>
                </c:pt>
                <c:pt idx="10">
                  <c:v>419</c:v>
                </c:pt>
              </c:numCache>
            </c:numRef>
          </c:val>
        </c:ser>
        <c:dLbls>
          <c:showLegendKey val="0"/>
          <c:showVal val="0"/>
          <c:showCatName val="0"/>
          <c:showSerName val="0"/>
          <c:showPercent val="0"/>
          <c:showBubbleSize val="0"/>
        </c:dLbls>
        <c:gapWidth val="0"/>
        <c:overlap val="100"/>
        <c:axId val="596314472"/>
        <c:axId val="596306632"/>
      </c:barChart>
      <c:catAx>
        <c:axId val="596312120"/>
        <c:scaling>
          <c:orientation val="minMax"/>
        </c:scaling>
        <c:delete val="0"/>
        <c:axPos val="b"/>
        <c:numFmt formatCode="General" sourceLinked="0"/>
        <c:majorTickMark val="out"/>
        <c:minorTickMark val="none"/>
        <c:tickLblPos val="nextTo"/>
        <c:crossAx val="596314080"/>
        <c:crosses val="autoZero"/>
        <c:auto val="1"/>
        <c:lblAlgn val="ctr"/>
        <c:lblOffset val="100"/>
        <c:noMultiLvlLbl val="0"/>
      </c:catAx>
      <c:valAx>
        <c:axId val="596314080"/>
        <c:scaling>
          <c:orientation val="minMax"/>
        </c:scaling>
        <c:delete val="0"/>
        <c:axPos val="l"/>
        <c:majorGridlines/>
        <c:numFmt formatCode="#,##0" sourceLinked="1"/>
        <c:majorTickMark val="out"/>
        <c:minorTickMark val="none"/>
        <c:tickLblPos val="nextTo"/>
        <c:crossAx val="596312120"/>
        <c:crosses val="autoZero"/>
        <c:crossBetween val="between"/>
      </c:valAx>
      <c:valAx>
        <c:axId val="596306632"/>
        <c:scaling>
          <c:orientation val="minMax"/>
        </c:scaling>
        <c:delete val="1"/>
        <c:axPos val="r"/>
        <c:numFmt formatCode="#,##0" sourceLinked="1"/>
        <c:majorTickMark val="out"/>
        <c:minorTickMark val="none"/>
        <c:tickLblPos val="none"/>
        <c:crossAx val="596314472"/>
        <c:crosses val="max"/>
        <c:crossBetween val="between"/>
      </c:valAx>
      <c:catAx>
        <c:axId val="596314472"/>
        <c:scaling>
          <c:orientation val="minMax"/>
        </c:scaling>
        <c:delete val="1"/>
        <c:axPos val="b"/>
        <c:numFmt formatCode="General" sourceLinked="1"/>
        <c:majorTickMark val="out"/>
        <c:minorTickMark val="none"/>
        <c:tickLblPos val="none"/>
        <c:crossAx val="596306632"/>
        <c:crosses val="autoZero"/>
        <c:auto val="1"/>
        <c:lblAlgn val="ctr"/>
        <c:lblOffset val="100"/>
        <c:noMultiLvlLbl val="0"/>
      </c:catAx>
      <c:spPr>
        <a:solidFill>
          <a:srgbClr val="C0504D">
            <a:lumMod val="40000"/>
            <a:lumOff val="60000"/>
            <a:alpha val="25000"/>
          </a:srgb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
          <c:y val="0.86815181546362885"/>
          <c:w val="0.73571690900380304"/>
          <c:h val="0.13184811898512691"/>
        </c:manualLayout>
      </c:layout>
      <c:overlay val="0"/>
    </c:legend>
    <c:plotVisOnly val="1"/>
    <c:dispBlanksAs val="gap"/>
    <c:showDLblsOverMax val="0"/>
  </c:chart>
  <c:spPr>
    <a:solidFill>
      <a:srgbClr val="C0504D">
        <a:lumMod val="40000"/>
        <a:lumOff val="60000"/>
        <a:alpha val="25000"/>
      </a:srgbClr>
    </a:solidFill>
  </c:sp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US" sz="1200"/>
              <a:t>3A. Rate of Exits to Permanent</a:t>
            </a:r>
            <a:r>
              <a:rPr lang="en-US" sz="1200" baseline="0"/>
              <a:t> Housing</a:t>
            </a:r>
          </a:p>
          <a:p>
            <a:pPr>
              <a:defRPr sz="1200"/>
            </a:pPr>
            <a:r>
              <a:rPr lang="en-US" sz="1200"/>
              <a:t>Single</a:t>
            </a:r>
            <a:r>
              <a:rPr lang="en-US" sz="1200" baseline="0"/>
              <a:t> Adults</a:t>
            </a:r>
            <a:endParaRPr lang="en-US" sz="1200"/>
          </a:p>
        </c:rich>
      </c:tx>
      <c:overlay val="0"/>
    </c:title>
    <c:autoTitleDeleted val="0"/>
    <c:plotArea>
      <c:layout/>
      <c:barChart>
        <c:barDir val="col"/>
        <c:grouping val="clustered"/>
        <c:varyColors val="0"/>
        <c:ser>
          <c:idx val="0"/>
          <c:order val="0"/>
          <c:tx>
            <c:strRef>
              <c:f>Formulas!$CI$17</c:f>
              <c:strCache>
                <c:ptCount val="1"/>
                <c:pt idx="0">
                  <c:v>Rate of Exit to PH - Adult Only HHs</c:v>
                </c:pt>
              </c:strCache>
            </c:strRef>
          </c:tx>
          <c:invertIfNegative val="0"/>
          <c:dLbls>
            <c:numFmt formatCode="#%;;;" sourceLinked="0"/>
            <c:spPr>
              <a:noFill/>
              <a:ln>
                <a:noFill/>
              </a:ln>
              <a:effectLst/>
            </c:spPr>
            <c:txPr>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Formulas!$CH$18:$CH$20</c:f>
              <c:strCache>
                <c:ptCount val="3"/>
                <c:pt idx="0">
                  <c:v>Emergency Shelters</c:v>
                </c:pt>
                <c:pt idx="1">
                  <c:v>Transitional Housing</c:v>
                </c:pt>
                <c:pt idx="2">
                  <c:v>Rapid Re-Housing</c:v>
                </c:pt>
              </c:strCache>
            </c:strRef>
          </c:cat>
          <c:val>
            <c:numRef>
              <c:f>Formulas!$CI$18:$CI$20</c:f>
              <c:numCache>
                <c:formatCode>0%</c:formatCode>
                <c:ptCount val="3"/>
                <c:pt idx="0">
                  <c:v>0.17096774193548386</c:v>
                </c:pt>
                <c:pt idx="1">
                  <c:v>0.41702127659574467</c:v>
                </c:pt>
                <c:pt idx="2">
                  <c:v>0.7466666666666667</c:v>
                </c:pt>
              </c:numCache>
            </c:numRef>
          </c:val>
        </c:ser>
        <c:dLbls>
          <c:showLegendKey val="0"/>
          <c:showVal val="1"/>
          <c:showCatName val="0"/>
          <c:showSerName val="0"/>
          <c:showPercent val="0"/>
          <c:showBubbleSize val="0"/>
        </c:dLbls>
        <c:gapWidth val="50"/>
        <c:axId val="604261600"/>
        <c:axId val="604260032"/>
      </c:barChart>
      <c:catAx>
        <c:axId val="604261600"/>
        <c:scaling>
          <c:orientation val="minMax"/>
        </c:scaling>
        <c:delete val="0"/>
        <c:axPos val="b"/>
        <c:numFmt formatCode="General" sourceLinked="0"/>
        <c:majorTickMark val="out"/>
        <c:minorTickMark val="none"/>
        <c:tickLblPos val="nextTo"/>
        <c:crossAx val="604260032"/>
        <c:crosses val="autoZero"/>
        <c:auto val="1"/>
        <c:lblAlgn val="ctr"/>
        <c:lblOffset val="100"/>
        <c:noMultiLvlLbl val="0"/>
      </c:catAx>
      <c:valAx>
        <c:axId val="604260032"/>
        <c:scaling>
          <c:orientation val="minMax"/>
        </c:scaling>
        <c:delete val="0"/>
        <c:axPos val="l"/>
        <c:majorGridlines/>
        <c:numFmt formatCode="0%" sourceLinked="1"/>
        <c:majorTickMark val="out"/>
        <c:minorTickMark val="none"/>
        <c:tickLblPos val="nextTo"/>
        <c:crossAx val="604261600"/>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555" l="0.70000000000000062" r="0.70000000000000062" t="0.7500000000000055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Formulas!$BD$83</c:f>
          <c:strCache>
            <c:ptCount val="1"/>
            <c:pt idx="0">
              <c:v>19B. Rate of Return to Homelessness
Family Households</c:v>
            </c:pt>
          </c:strCache>
        </c:strRef>
      </c:tx>
      <c:overlay val="0"/>
      <c:txPr>
        <a:bodyPr/>
        <a:lstStyle/>
        <a:p>
          <a:pPr>
            <a:defRPr sz="1200"/>
          </a:pPr>
          <a:endParaRPr lang="en-US"/>
        </a:p>
      </c:txPr>
    </c:title>
    <c:autoTitleDeleted val="0"/>
    <c:plotArea>
      <c:layout>
        <c:manualLayout>
          <c:layoutTarget val="inner"/>
          <c:xMode val="edge"/>
          <c:yMode val="edge"/>
          <c:x val="9.1849518810148481E-2"/>
          <c:y val="0.25110273682707557"/>
          <c:w val="0.87759492563429575"/>
          <c:h val="0.56229270186730806"/>
        </c:manualLayout>
      </c:layout>
      <c:barChart>
        <c:barDir val="col"/>
        <c:grouping val="clustered"/>
        <c:varyColors val="0"/>
        <c:ser>
          <c:idx val="2"/>
          <c:order val="2"/>
          <c:tx>
            <c:strRef>
              <c:f>Formulas!$BI$82</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Formulas!$BE$83:$BE$86</c:f>
              <c:strCache>
                <c:ptCount val="4"/>
                <c:pt idx="0">
                  <c:v>ES</c:v>
                </c:pt>
                <c:pt idx="1">
                  <c:v>TH</c:v>
                </c:pt>
                <c:pt idx="2">
                  <c:v>RR</c:v>
                </c:pt>
                <c:pt idx="3">
                  <c:v>All Programs</c:v>
                </c:pt>
              </c:strCache>
            </c:strRef>
          </c:cat>
          <c:val>
            <c:numRef>
              <c:f>Formulas!$BI$83:$BI$86</c:f>
              <c:numCache>
                <c:formatCode>0%</c:formatCode>
                <c:ptCount val="4"/>
                <c:pt idx="0">
                  <c:v>0.10948905109489052</c:v>
                </c:pt>
                <c:pt idx="1">
                  <c:v>8.8607594936708861E-2</c:v>
                </c:pt>
                <c:pt idx="2">
                  <c:v>3.8297872340425532E-2</c:v>
                </c:pt>
                <c:pt idx="3">
                  <c:v>7.879817279067497E-2</c:v>
                </c:pt>
              </c:numCache>
            </c:numRef>
          </c:val>
        </c:ser>
        <c:ser>
          <c:idx val="3"/>
          <c:order val="3"/>
          <c:tx>
            <c:strRef>
              <c:f>Formulas!$BJ$82</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Formulas!$BE$83:$BE$86</c:f>
              <c:strCache>
                <c:ptCount val="4"/>
                <c:pt idx="0">
                  <c:v>ES</c:v>
                </c:pt>
                <c:pt idx="1">
                  <c:v>TH</c:v>
                </c:pt>
                <c:pt idx="2">
                  <c:v>RR</c:v>
                </c:pt>
                <c:pt idx="3">
                  <c:v>All Programs</c:v>
                </c:pt>
              </c:strCache>
            </c:strRef>
          </c:cat>
          <c:val>
            <c:numRef>
              <c:f>Formulas!$BJ$83:$BJ$86</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150"/>
        <c:axId val="596305848"/>
        <c:axId val="596309768"/>
      </c:barChart>
      <c:barChart>
        <c:barDir val="col"/>
        <c:grouping val="clustered"/>
        <c:varyColors val="0"/>
        <c:ser>
          <c:idx val="0"/>
          <c:order val="0"/>
          <c:tx>
            <c:strRef>
              <c:f>Formulas!$BF$82</c:f>
              <c:strCache>
                <c:ptCount val="1"/>
                <c:pt idx="0">
                  <c:v>Current</c:v>
                </c:pt>
              </c:strCache>
            </c:strRef>
          </c:tx>
          <c:invertIfNegative val="0"/>
          <c:cat>
            <c:strRef>
              <c:f>Formulas!$BE$83:$BE$86</c:f>
              <c:strCache>
                <c:ptCount val="4"/>
                <c:pt idx="0">
                  <c:v>ES</c:v>
                </c:pt>
                <c:pt idx="1">
                  <c:v>TH</c:v>
                </c:pt>
                <c:pt idx="2">
                  <c:v>RR</c:v>
                </c:pt>
                <c:pt idx="3">
                  <c:v>All Programs</c:v>
                </c:pt>
              </c:strCache>
            </c:strRef>
          </c:cat>
          <c:val>
            <c:numRef>
              <c:f>Formulas!$BF$83:$BF$86</c:f>
              <c:numCache>
                <c:formatCode>0%</c:formatCode>
                <c:ptCount val="4"/>
                <c:pt idx="0">
                  <c:v>0.10948905109489052</c:v>
                </c:pt>
                <c:pt idx="1">
                  <c:v>8.8607594936708861E-2</c:v>
                </c:pt>
                <c:pt idx="2">
                  <c:v>3.8297872340425532E-2</c:v>
                </c:pt>
                <c:pt idx="3">
                  <c:v>7.879817279067497E-2</c:v>
                </c:pt>
              </c:numCache>
            </c:numRef>
          </c:val>
        </c:ser>
        <c:ser>
          <c:idx val="1"/>
          <c:order val="1"/>
          <c:tx>
            <c:strRef>
              <c:f>Formulas!$BG$82</c:f>
              <c:strCache>
                <c:ptCount val="1"/>
                <c:pt idx="0">
                  <c:v>New</c:v>
                </c:pt>
              </c:strCache>
            </c:strRef>
          </c:tx>
          <c:invertIfNegative val="0"/>
          <c:cat>
            <c:strRef>
              <c:f>Formulas!$BE$83:$BE$86</c:f>
              <c:strCache>
                <c:ptCount val="4"/>
                <c:pt idx="0">
                  <c:v>ES</c:v>
                </c:pt>
                <c:pt idx="1">
                  <c:v>TH</c:v>
                </c:pt>
                <c:pt idx="2">
                  <c:v>RR</c:v>
                </c:pt>
                <c:pt idx="3">
                  <c:v>All Programs</c:v>
                </c:pt>
              </c:strCache>
            </c:strRef>
          </c:cat>
          <c:val>
            <c:numRef>
              <c:f>Formulas!$BG$83:$BG$86</c:f>
              <c:numCache>
                <c:formatCode>0%</c:formatCode>
                <c:ptCount val="4"/>
                <c:pt idx="0">
                  <c:v>0.10948905109489052</c:v>
                </c:pt>
                <c:pt idx="1">
                  <c:v>8.8607594936708861E-2</c:v>
                </c:pt>
                <c:pt idx="2">
                  <c:v>3.8297872340425532E-2</c:v>
                </c:pt>
                <c:pt idx="3">
                  <c:v>7.879817279067497E-2</c:v>
                </c:pt>
              </c:numCache>
            </c:numRef>
          </c:val>
        </c:ser>
        <c:dLbls>
          <c:showLegendKey val="0"/>
          <c:showVal val="0"/>
          <c:showCatName val="0"/>
          <c:showSerName val="0"/>
          <c:showPercent val="0"/>
          <c:showBubbleSize val="0"/>
        </c:dLbls>
        <c:gapWidth val="150"/>
        <c:axId val="596312904"/>
        <c:axId val="596310552"/>
      </c:barChart>
      <c:catAx>
        <c:axId val="596305848"/>
        <c:scaling>
          <c:orientation val="minMax"/>
        </c:scaling>
        <c:delete val="0"/>
        <c:axPos val="b"/>
        <c:numFmt formatCode="General" sourceLinked="0"/>
        <c:majorTickMark val="out"/>
        <c:minorTickMark val="none"/>
        <c:tickLblPos val="nextTo"/>
        <c:crossAx val="596309768"/>
        <c:crosses val="autoZero"/>
        <c:auto val="1"/>
        <c:lblAlgn val="ctr"/>
        <c:lblOffset val="100"/>
        <c:noMultiLvlLbl val="0"/>
      </c:catAx>
      <c:valAx>
        <c:axId val="596309768"/>
        <c:scaling>
          <c:orientation val="minMax"/>
        </c:scaling>
        <c:delete val="0"/>
        <c:axPos val="l"/>
        <c:majorGridlines/>
        <c:numFmt formatCode="0%" sourceLinked="1"/>
        <c:majorTickMark val="out"/>
        <c:minorTickMark val="none"/>
        <c:tickLblPos val="nextTo"/>
        <c:crossAx val="596305848"/>
        <c:crosses val="autoZero"/>
        <c:crossBetween val="between"/>
      </c:valAx>
      <c:valAx>
        <c:axId val="596310552"/>
        <c:scaling>
          <c:orientation val="minMax"/>
        </c:scaling>
        <c:delete val="1"/>
        <c:axPos val="r"/>
        <c:numFmt formatCode="0%" sourceLinked="1"/>
        <c:majorTickMark val="out"/>
        <c:minorTickMark val="none"/>
        <c:tickLblPos val="none"/>
        <c:crossAx val="596312904"/>
        <c:crosses val="max"/>
        <c:crossBetween val="between"/>
      </c:valAx>
      <c:catAx>
        <c:axId val="596312904"/>
        <c:scaling>
          <c:orientation val="minMax"/>
        </c:scaling>
        <c:delete val="1"/>
        <c:axPos val="b"/>
        <c:numFmt formatCode="General" sourceLinked="1"/>
        <c:majorTickMark val="out"/>
        <c:minorTickMark val="none"/>
        <c:tickLblPos val="none"/>
        <c:crossAx val="596310552"/>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1.6637795275590544E-2"/>
          <c:y val="0.90247362719736857"/>
          <c:w val="0.23894663167104283"/>
          <c:h val="8.3648825944967489E-2"/>
        </c:manualLayout>
      </c:layout>
      <c:overlay val="0"/>
    </c:legend>
    <c:plotVisOnly val="1"/>
    <c:dispBlanksAs val="gap"/>
    <c:showDLblsOverMax val="0"/>
  </c:chart>
  <c:spPr>
    <a:solidFill>
      <a:srgbClr val="FFFF99">
        <a:alpha val="50000"/>
      </a:srgbClr>
    </a:solidFill>
  </c:spPr>
  <c:printSettings>
    <c:headerFooter/>
    <c:pageMargins b="0.75000000000000433" l="0.70000000000000062" r="0.70000000000000062" t="0.75000000000000433"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Formulas!$BD$114</c:f>
          <c:strCache>
            <c:ptCount val="1"/>
            <c:pt idx="0">
              <c:v>20B. Change in Permanent Housing Exits that "Stick"
Family Households</c:v>
            </c:pt>
          </c:strCache>
        </c:strRef>
      </c:tx>
      <c:layout>
        <c:manualLayout>
          <c:xMode val="edge"/>
          <c:yMode val="edge"/>
          <c:x val="2.4765990984225244E-3"/>
          <c:y val="1.3718352019766941E-3"/>
        </c:manualLayout>
      </c:layout>
      <c:overlay val="0"/>
      <c:txPr>
        <a:bodyPr/>
        <a:lstStyle/>
        <a:p>
          <a:pPr algn="l">
            <a:defRPr sz="1200"/>
          </a:pPr>
          <a:endParaRPr lang="en-US"/>
        </a:p>
      </c:txPr>
    </c:title>
    <c:autoTitleDeleted val="0"/>
    <c:plotArea>
      <c:layout>
        <c:manualLayout>
          <c:layoutTarget val="inner"/>
          <c:xMode val="edge"/>
          <c:yMode val="edge"/>
          <c:x val="8.3886945744367308E-2"/>
          <c:y val="0.23391707302011094"/>
          <c:w val="0.86324082691213788"/>
          <c:h val="0.56045626499119316"/>
        </c:manualLayout>
      </c:layout>
      <c:barChart>
        <c:barDir val="col"/>
        <c:grouping val="clustered"/>
        <c:varyColors val="0"/>
        <c:ser>
          <c:idx val="4"/>
          <c:order val="4"/>
          <c:tx>
            <c:strRef>
              <c:f>Formulas!$BL$112:$BL$113</c:f>
              <c:strCache>
                <c:ptCount val="2"/>
                <c:pt idx="0">
                  <c:v>Current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Formulas!$BL$114:$BL$125</c:f>
              <c:numCache>
                <c:formatCode>General</c:formatCode>
                <c:ptCount val="12"/>
                <c:pt idx="0" formatCode="#,##0">
                  <c:v>137</c:v>
                </c:pt>
                <c:pt idx="3" formatCode="#,##0">
                  <c:v>158</c:v>
                </c:pt>
                <c:pt idx="6" formatCode="#,##0">
                  <c:v>235</c:v>
                </c:pt>
                <c:pt idx="9" formatCode="#,##0">
                  <c:v>530</c:v>
                </c:pt>
              </c:numCache>
            </c:numRef>
          </c:val>
        </c:ser>
        <c:ser>
          <c:idx val="5"/>
          <c:order val="5"/>
          <c:tx>
            <c:strRef>
              <c:f>Formulas!$BM$112:$BM$113</c:f>
              <c:strCache>
                <c:ptCount val="2"/>
                <c:pt idx="0">
                  <c:v>Current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Formulas!$BM$114:$BM$125</c:f>
              <c:numCache>
                <c:formatCode>General</c:formatCode>
                <c:ptCount val="12"/>
                <c:pt idx="0" formatCode="#,##0">
                  <c:v>122</c:v>
                </c:pt>
                <c:pt idx="3" formatCode="#,##0">
                  <c:v>144</c:v>
                </c:pt>
                <c:pt idx="6" formatCode="#,##0">
                  <c:v>226</c:v>
                </c:pt>
                <c:pt idx="9" formatCode="#,##0">
                  <c:v>492</c:v>
                </c:pt>
              </c:numCache>
            </c:numRef>
          </c:val>
        </c:ser>
        <c:ser>
          <c:idx val="6"/>
          <c:order val="6"/>
          <c:tx>
            <c:strRef>
              <c:f>Formulas!$BN$112:$BN$113</c:f>
              <c:strCache>
                <c:ptCount val="2"/>
                <c:pt idx="0">
                  <c:v>New Returns</c:v>
                </c:pt>
              </c:strCache>
            </c:strRef>
          </c:tx>
          <c:invertIfNegative val="0"/>
          <c:dLbls>
            <c:delete val="1"/>
          </c:dLbls>
          <c:cat>
            <c:strRef>
              <c:f>Formulas!$BE$114:$BE$125</c:f>
              <c:strCache>
                <c:ptCount val="10"/>
                <c:pt idx="0">
                  <c:v>ES</c:v>
                </c:pt>
                <c:pt idx="3">
                  <c:v>TH</c:v>
                </c:pt>
                <c:pt idx="6">
                  <c:v>RR</c:v>
                </c:pt>
                <c:pt idx="9">
                  <c:v>All Programs</c:v>
                </c:pt>
              </c:strCache>
            </c:strRef>
          </c:cat>
          <c:val>
            <c:numRef>
              <c:f>Formulas!$BN$114:$BN$125</c:f>
              <c:numCache>
                <c:formatCode>#,##0</c:formatCode>
                <c:ptCount val="12"/>
                <c:pt idx="1">
                  <c:v>136.99999999999997</c:v>
                </c:pt>
                <c:pt idx="4">
                  <c:v>158.00000000000003</c:v>
                </c:pt>
                <c:pt idx="7">
                  <c:v>235</c:v>
                </c:pt>
                <c:pt idx="10">
                  <c:v>530</c:v>
                </c:pt>
              </c:numCache>
            </c:numRef>
          </c:val>
        </c:ser>
        <c:ser>
          <c:idx val="7"/>
          <c:order val="7"/>
          <c:tx>
            <c:strRef>
              <c:f>Formulas!$BO$112:$BO$113</c:f>
              <c:strCache>
                <c:ptCount val="2"/>
                <c:pt idx="0">
                  <c:v>New PH Exits that "Stick"</c:v>
                </c:pt>
              </c:strCache>
            </c:strRef>
          </c:tx>
          <c:invertIfNegative val="0"/>
          <c:dLbls>
            <c:delete val="1"/>
          </c:dLbls>
          <c:cat>
            <c:strRef>
              <c:f>Formulas!$BE$114:$BE$125</c:f>
              <c:strCache>
                <c:ptCount val="10"/>
                <c:pt idx="0">
                  <c:v>ES</c:v>
                </c:pt>
                <c:pt idx="3">
                  <c:v>TH</c:v>
                </c:pt>
                <c:pt idx="6">
                  <c:v>RR</c:v>
                </c:pt>
                <c:pt idx="9">
                  <c:v>All Programs</c:v>
                </c:pt>
              </c:strCache>
            </c:strRef>
          </c:cat>
          <c:val>
            <c:numRef>
              <c:f>Formulas!$BO$114:$BO$125</c:f>
              <c:numCache>
                <c:formatCode>#,##0</c:formatCode>
                <c:ptCount val="12"/>
                <c:pt idx="1">
                  <c:v>121.99999999999997</c:v>
                </c:pt>
                <c:pt idx="4">
                  <c:v>144.00000000000003</c:v>
                </c:pt>
                <c:pt idx="7">
                  <c:v>226</c:v>
                </c:pt>
                <c:pt idx="10">
                  <c:v>492</c:v>
                </c:pt>
              </c:numCache>
            </c:numRef>
          </c:val>
        </c:ser>
        <c:dLbls>
          <c:showLegendKey val="0"/>
          <c:showVal val="1"/>
          <c:showCatName val="0"/>
          <c:showSerName val="0"/>
          <c:showPercent val="0"/>
          <c:showBubbleSize val="0"/>
        </c:dLbls>
        <c:gapWidth val="150"/>
        <c:axId val="596307024"/>
        <c:axId val="596303496"/>
      </c:barChart>
      <c:barChart>
        <c:barDir val="col"/>
        <c:grouping val="clustered"/>
        <c:varyColors val="0"/>
        <c:ser>
          <c:idx val="0"/>
          <c:order val="0"/>
          <c:tx>
            <c:strRef>
              <c:f>Formulas!$BF$112:$BF$113</c:f>
              <c:strCache>
                <c:ptCount val="2"/>
                <c:pt idx="0">
                  <c:v>Current Returns</c:v>
                </c:pt>
              </c:strCache>
            </c:strRef>
          </c:tx>
          <c:spPr>
            <a:solidFill>
              <a:schemeClr val="accent1">
                <a:lumMod val="40000"/>
                <a:lumOff val="60000"/>
              </a:schemeClr>
            </a:solidFill>
          </c:spPr>
          <c:invertIfNegative val="0"/>
          <c:cat>
            <c:strRef>
              <c:f>Formulas!$BE$114:$BE$125</c:f>
              <c:strCache>
                <c:ptCount val="10"/>
                <c:pt idx="0">
                  <c:v>ES</c:v>
                </c:pt>
                <c:pt idx="3">
                  <c:v>TH</c:v>
                </c:pt>
                <c:pt idx="6">
                  <c:v>RR</c:v>
                </c:pt>
                <c:pt idx="9">
                  <c:v>All Programs</c:v>
                </c:pt>
              </c:strCache>
            </c:strRef>
          </c:cat>
          <c:val>
            <c:numRef>
              <c:f>Formulas!$BF$114:$BF$125</c:f>
              <c:numCache>
                <c:formatCode>General</c:formatCode>
                <c:ptCount val="12"/>
                <c:pt idx="0" formatCode="#,##0">
                  <c:v>137</c:v>
                </c:pt>
                <c:pt idx="3" formatCode="#,##0">
                  <c:v>158</c:v>
                </c:pt>
                <c:pt idx="6" formatCode="#,##0">
                  <c:v>235</c:v>
                </c:pt>
                <c:pt idx="9" formatCode="#,##0">
                  <c:v>530</c:v>
                </c:pt>
              </c:numCache>
            </c:numRef>
          </c:val>
        </c:ser>
        <c:ser>
          <c:idx val="1"/>
          <c:order val="1"/>
          <c:tx>
            <c:strRef>
              <c:f>Formulas!$BG$112:$BG$113</c:f>
              <c:strCache>
                <c:ptCount val="2"/>
                <c:pt idx="0">
                  <c:v>Current PH Exits that "Stick"</c:v>
                </c:pt>
              </c:strCache>
            </c:strRef>
          </c:tx>
          <c:spPr>
            <a:solidFill>
              <a:schemeClr val="accent1">
                <a:lumMod val="75000"/>
              </a:schemeClr>
            </a:solidFill>
          </c:spPr>
          <c:invertIfNegative val="0"/>
          <c:cat>
            <c:strRef>
              <c:f>Formulas!$BE$114:$BE$125</c:f>
              <c:strCache>
                <c:ptCount val="10"/>
                <c:pt idx="0">
                  <c:v>ES</c:v>
                </c:pt>
                <c:pt idx="3">
                  <c:v>TH</c:v>
                </c:pt>
                <c:pt idx="6">
                  <c:v>RR</c:v>
                </c:pt>
                <c:pt idx="9">
                  <c:v>All Programs</c:v>
                </c:pt>
              </c:strCache>
            </c:strRef>
          </c:cat>
          <c:val>
            <c:numRef>
              <c:f>Formulas!$BG$114:$BG$125</c:f>
              <c:numCache>
                <c:formatCode>General</c:formatCode>
                <c:ptCount val="12"/>
                <c:pt idx="0" formatCode="#,##0">
                  <c:v>122</c:v>
                </c:pt>
                <c:pt idx="3" formatCode="#,##0">
                  <c:v>144</c:v>
                </c:pt>
                <c:pt idx="6" formatCode="#,##0">
                  <c:v>226</c:v>
                </c:pt>
                <c:pt idx="9" formatCode="#,##0">
                  <c:v>492</c:v>
                </c:pt>
              </c:numCache>
            </c:numRef>
          </c:val>
        </c:ser>
        <c:ser>
          <c:idx val="2"/>
          <c:order val="2"/>
          <c:tx>
            <c:strRef>
              <c:f>Formulas!$BH$112:$BH$113</c:f>
              <c:strCache>
                <c:ptCount val="2"/>
                <c:pt idx="0">
                  <c:v>New Returns</c:v>
                </c:pt>
              </c:strCache>
            </c:strRef>
          </c:tx>
          <c:spPr>
            <a:solidFill>
              <a:schemeClr val="accent3">
                <a:lumMod val="40000"/>
                <a:lumOff val="60000"/>
              </a:schemeClr>
            </a:solidFill>
          </c:spPr>
          <c:invertIfNegative val="0"/>
          <c:dLbls>
            <c:dLbl>
              <c:idx val="1"/>
              <c:tx>
                <c:strRef>
                  <c:f>Formulas!$BK$114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{8CD2E546-E1BB-4112-A036-4A091EDFEC84}</c15:txfldGUID>
                      <c15:f>Formulas!$BK$114</c15:f>
                      <c15:dlblFieldTableCache>
                        <c:ptCount val="1"/>
                      </c15:dlblFieldTableCache>
                    </c15:dlblFTEntry>
                  </c15:dlblFieldTable>
                  <c15:showDataLabelsRange val="0"/>
                </c:ext>
              </c:extLst>
            </c:dLbl>
            <c:dLbl>
              <c:idx val="4"/>
              <c:tx>
                <c:strRef>
                  <c:f>Formulas!$BK$117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{9FCF4E31-4677-4837-8568-8FCFC7F2E702}</c15:txfldGUID>
                      <c15:f>Formulas!$BK$117</c15:f>
                      <c15:dlblFieldTableCache>
                        <c:ptCount val="1"/>
                      </c15:dlblFieldTableCache>
                    </c15:dlblFTEntry>
                  </c15:dlblFieldTable>
                  <c15:showDataLabelsRange val="0"/>
                </c:ext>
              </c:extLst>
            </c:dLbl>
            <c:dLbl>
              <c:idx val="7"/>
              <c:tx>
                <c:strRef>
                  <c:f>Formulas!$BK$120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{060DD697-BAFC-4F21-BB63-043F476BF9A5}</c15:txfldGUID>
                      <c15:f>Formulas!$BK$120</c15:f>
                      <c15:dlblFieldTableCache>
                        <c:ptCount val="1"/>
                      </c15:dlblFieldTableCache>
                    </c15:dlblFTEntry>
                  </c15:dlblFieldTable>
                  <c15:showDataLabelsRange val="0"/>
                </c:ext>
              </c:extLst>
            </c:dLbl>
            <c:dLbl>
              <c:idx val="10"/>
              <c:tx>
                <c:strRef>
                  <c:f>Formulas!$BK$123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{33BA23DB-7A75-4085-AD16-1FBD68ED8F4C}</c15:txfldGUID>
                      <c15:f>Formulas!$BK$123</c15:f>
                      <c15:dlblFieldTableCache>
                        <c:ptCount val="1"/>
                      </c15:dlblFieldTableCache>
                    </c15:dlblFTEntry>
                  </c15:dlblFieldTable>
                  <c15:showDataLabelsRange val="0"/>
                </c:ext>
              </c:extLst>
            </c:dLbl>
            <c:spPr>
              <a:noFill/>
              <a:ln>
                <a:noFill/>
              </a:ln>
              <a:effectLst/>
            </c:spPr>
            <c:txPr>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Formulas!$BE$114:$BE$125</c:f>
              <c:strCache>
                <c:ptCount val="10"/>
                <c:pt idx="0">
                  <c:v>ES</c:v>
                </c:pt>
                <c:pt idx="3">
                  <c:v>TH</c:v>
                </c:pt>
                <c:pt idx="6">
                  <c:v>RR</c:v>
                </c:pt>
                <c:pt idx="9">
                  <c:v>All Programs</c:v>
                </c:pt>
              </c:strCache>
            </c:strRef>
          </c:cat>
          <c:val>
            <c:numRef>
              <c:f>Formulas!$BH$114:$BH$125</c:f>
              <c:numCache>
                <c:formatCode>#,##0</c:formatCode>
                <c:ptCount val="12"/>
                <c:pt idx="1">
                  <c:v>136.99999999999997</c:v>
                </c:pt>
                <c:pt idx="4">
                  <c:v>158.00000000000003</c:v>
                </c:pt>
                <c:pt idx="7">
                  <c:v>235</c:v>
                </c:pt>
                <c:pt idx="10">
                  <c:v>530</c:v>
                </c:pt>
              </c:numCache>
            </c:numRef>
          </c:val>
        </c:ser>
        <c:ser>
          <c:idx val="3"/>
          <c:order val="3"/>
          <c:tx>
            <c:strRef>
              <c:f>Formulas!$BI$112:$BI$113</c:f>
              <c:strCache>
                <c:ptCount val="2"/>
                <c:pt idx="0">
                  <c:v>New PH Exits that "Stick"</c:v>
                </c:pt>
              </c:strCache>
            </c:strRef>
          </c:tx>
          <c:spPr>
            <a:solidFill>
              <a:schemeClr val="accent3">
                <a:lumMod val="75000"/>
              </a:schemeClr>
            </a:solidFill>
          </c:spPr>
          <c:invertIfNegative val="0"/>
          <c:cat>
            <c:strRef>
              <c:f>Formulas!$BE$114:$BE$125</c:f>
              <c:strCache>
                <c:ptCount val="10"/>
                <c:pt idx="0">
                  <c:v>ES</c:v>
                </c:pt>
                <c:pt idx="3">
                  <c:v>TH</c:v>
                </c:pt>
                <c:pt idx="6">
                  <c:v>RR</c:v>
                </c:pt>
                <c:pt idx="9">
                  <c:v>All Programs</c:v>
                </c:pt>
              </c:strCache>
            </c:strRef>
          </c:cat>
          <c:val>
            <c:numRef>
              <c:f>Formulas!$BI$114:$BI$125</c:f>
              <c:numCache>
                <c:formatCode>#,##0</c:formatCode>
                <c:ptCount val="12"/>
                <c:pt idx="1">
                  <c:v>121.99999999999997</c:v>
                </c:pt>
                <c:pt idx="4">
                  <c:v>144.00000000000003</c:v>
                </c:pt>
                <c:pt idx="7">
                  <c:v>226</c:v>
                </c:pt>
                <c:pt idx="10">
                  <c:v>492</c:v>
                </c:pt>
              </c:numCache>
            </c:numRef>
          </c:val>
        </c:ser>
        <c:dLbls>
          <c:showLegendKey val="0"/>
          <c:showVal val="0"/>
          <c:showCatName val="0"/>
          <c:showSerName val="0"/>
          <c:showPercent val="0"/>
          <c:showBubbleSize val="0"/>
        </c:dLbls>
        <c:gapWidth val="0"/>
        <c:overlap val="100"/>
        <c:axId val="596303888"/>
        <c:axId val="596313296"/>
      </c:barChart>
      <c:catAx>
        <c:axId val="596307024"/>
        <c:scaling>
          <c:orientation val="minMax"/>
        </c:scaling>
        <c:delete val="0"/>
        <c:axPos val="b"/>
        <c:numFmt formatCode="General" sourceLinked="0"/>
        <c:majorTickMark val="out"/>
        <c:minorTickMark val="none"/>
        <c:tickLblPos val="nextTo"/>
        <c:crossAx val="596303496"/>
        <c:crosses val="autoZero"/>
        <c:auto val="1"/>
        <c:lblAlgn val="ctr"/>
        <c:lblOffset val="100"/>
        <c:noMultiLvlLbl val="0"/>
      </c:catAx>
      <c:valAx>
        <c:axId val="596303496"/>
        <c:scaling>
          <c:orientation val="minMax"/>
        </c:scaling>
        <c:delete val="0"/>
        <c:axPos val="l"/>
        <c:majorGridlines/>
        <c:numFmt formatCode="#,##0" sourceLinked="1"/>
        <c:majorTickMark val="out"/>
        <c:minorTickMark val="none"/>
        <c:tickLblPos val="nextTo"/>
        <c:crossAx val="596307024"/>
        <c:crosses val="autoZero"/>
        <c:crossBetween val="between"/>
      </c:valAx>
      <c:valAx>
        <c:axId val="596313296"/>
        <c:scaling>
          <c:orientation val="minMax"/>
        </c:scaling>
        <c:delete val="1"/>
        <c:axPos val="r"/>
        <c:numFmt formatCode="#,##0" sourceLinked="1"/>
        <c:majorTickMark val="out"/>
        <c:minorTickMark val="none"/>
        <c:tickLblPos val="none"/>
        <c:crossAx val="596303888"/>
        <c:crosses val="max"/>
        <c:crossBetween val="between"/>
      </c:valAx>
      <c:catAx>
        <c:axId val="596303888"/>
        <c:scaling>
          <c:orientation val="minMax"/>
        </c:scaling>
        <c:delete val="1"/>
        <c:axPos val="b"/>
        <c:numFmt formatCode="General" sourceLinked="1"/>
        <c:majorTickMark val="out"/>
        <c:minorTickMark val="none"/>
        <c:tickLblPos val="none"/>
        <c:crossAx val="596313296"/>
        <c:crosses val="autoZero"/>
        <c:auto val="1"/>
        <c:lblAlgn val="ctr"/>
        <c:lblOffset val="100"/>
        <c:noMultiLvlLbl val="0"/>
      </c:catAx>
      <c:spPr>
        <a:solidFill>
          <a:srgbClr val="FFFFCC"/>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3.172176208744716E-3"/>
          <c:y val="0.88078097224196827"/>
          <c:w val="0.72715396971533253"/>
          <c:h val="0.11921902775803229"/>
        </c:manualLayout>
      </c:layout>
      <c:overlay val="0"/>
    </c:legend>
    <c:plotVisOnly val="1"/>
    <c:dispBlanksAs val="gap"/>
    <c:showDLblsOverMax val="0"/>
  </c:chart>
  <c:spPr>
    <a:solidFill>
      <a:srgbClr val="FFFFCC"/>
    </a:solidFill>
  </c:spPr>
  <c:printSettings>
    <c:headerFooter/>
    <c:pageMargins b="0.75000000000000411" l="0.70000000000000062" r="0.70000000000000062" t="0.75000000000000411"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Formulas!$BD$91</c:f>
          <c:strCache>
            <c:ptCount val="1"/>
            <c:pt idx="0">
              <c:v>19C. Rate of Return to Homelessness
All Households</c:v>
            </c:pt>
          </c:strCache>
        </c:strRef>
      </c:tx>
      <c:overlay val="0"/>
      <c:txPr>
        <a:bodyPr/>
        <a:lstStyle/>
        <a:p>
          <a:pPr>
            <a:defRPr sz="1200"/>
          </a:pPr>
          <a:endParaRPr lang="en-US"/>
        </a:p>
      </c:txPr>
    </c:title>
    <c:autoTitleDeleted val="0"/>
    <c:plotArea>
      <c:layout>
        <c:manualLayout>
          <c:layoutTarget val="inner"/>
          <c:xMode val="edge"/>
          <c:yMode val="edge"/>
          <c:x val="9.1849518810148481E-2"/>
          <c:y val="0.23722518996941144"/>
          <c:w val="0.87759492563429575"/>
          <c:h val="0.56229270186730806"/>
        </c:manualLayout>
      </c:layout>
      <c:barChart>
        <c:barDir val="col"/>
        <c:grouping val="clustered"/>
        <c:varyColors val="0"/>
        <c:ser>
          <c:idx val="2"/>
          <c:order val="2"/>
          <c:tx>
            <c:strRef>
              <c:f>Formulas!$BI$90</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Formulas!$BE$91:$BE$94</c:f>
              <c:strCache>
                <c:ptCount val="4"/>
                <c:pt idx="0">
                  <c:v>ES</c:v>
                </c:pt>
                <c:pt idx="1">
                  <c:v>TH</c:v>
                </c:pt>
                <c:pt idx="2">
                  <c:v>RR</c:v>
                </c:pt>
                <c:pt idx="3">
                  <c:v>All Programs</c:v>
                </c:pt>
              </c:strCache>
            </c:strRef>
          </c:cat>
          <c:val>
            <c:numRef>
              <c:f>Formulas!$BI$91:$BI$94</c:f>
              <c:numCache>
                <c:formatCode>0%</c:formatCode>
                <c:ptCount val="4"/>
                <c:pt idx="0">
                  <c:v>0.13432835820895522</c:v>
                </c:pt>
                <c:pt idx="1">
                  <c:v>8.203125E-2</c:v>
                </c:pt>
                <c:pt idx="2">
                  <c:v>5.4755043227665709E-2</c:v>
                </c:pt>
                <c:pt idx="3">
                  <c:v>9.0371550478873644E-2</c:v>
                </c:pt>
              </c:numCache>
            </c:numRef>
          </c:val>
        </c:ser>
        <c:ser>
          <c:idx val="3"/>
          <c:order val="3"/>
          <c:tx>
            <c:strRef>
              <c:f>Formulas!$BJ$90</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Formulas!$BE$91:$BE$94</c:f>
              <c:strCache>
                <c:ptCount val="4"/>
                <c:pt idx="0">
                  <c:v>ES</c:v>
                </c:pt>
                <c:pt idx="1">
                  <c:v>TH</c:v>
                </c:pt>
                <c:pt idx="2">
                  <c:v>RR</c:v>
                </c:pt>
                <c:pt idx="3">
                  <c:v>All Programs</c:v>
                </c:pt>
              </c:strCache>
            </c:strRef>
          </c:cat>
          <c:val>
            <c:numRef>
              <c:f>Formulas!$BJ$91:$BJ$94</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150"/>
        <c:axId val="596313688"/>
        <c:axId val="596308592"/>
      </c:barChart>
      <c:barChart>
        <c:barDir val="col"/>
        <c:grouping val="clustered"/>
        <c:varyColors val="0"/>
        <c:ser>
          <c:idx val="0"/>
          <c:order val="0"/>
          <c:tx>
            <c:strRef>
              <c:f>Formulas!$BF$90</c:f>
              <c:strCache>
                <c:ptCount val="1"/>
                <c:pt idx="0">
                  <c:v>Current</c:v>
                </c:pt>
              </c:strCache>
            </c:strRef>
          </c:tx>
          <c:invertIfNegative val="0"/>
          <c:cat>
            <c:strRef>
              <c:f>Formulas!$BE$91:$BE$94</c:f>
              <c:strCache>
                <c:ptCount val="4"/>
                <c:pt idx="0">
                  <c:v>ES</c:v>
                </c:pt>
                <c:pt idx="1">
                  <c:v>TH</c:v>
                </c:pt>
                <c:pt idx="2">
                  <c:v>RR</c:v>
                </c:pt>
                <c:pt idx="3">
                  <c:v>All Programs</c:v>
                </c:pt>
              </c:strCache>
            </c:strRef>
          </c:cat>
          <c:val>
            <c:numRef>
              <c:f>Formulas!$BF$91:$BF$94</c:f>
              <c:numCache>
                <c:formatCode>0%</c:formatCode>
                <c:ptCount val="4"/>
                <c:pt idx="0">
                  <c:v>0.13432835820895522</c:v>
                </c:pt>
                <c:pt idx="1">
                  <c:v>8.203125E-2</c:v>
                </c:pt>
                <c:pt idx="2">
                  <c:v>5.4755043227665709E-2</c:v>
                </c:pt>
                <c:pt idx="3">
                  <c:v>9.0371550478873644E-2</c:v>
                </c:pt>
              </c:numCache>
            </c:numRef>
          </c:val>
        </c:ser>
        <c:ser>
          <c:idx val="1"/>
          <c:order val="1"/>
          <c:tx>
            <c:strRef>
              <c:f>Formulas!$BG$90</c:f>
              <c:strCache>
                <c:ptCount val="1"/>
                <c:pt idx="0">
                  <c:v>New</c:v>
                </c:pt>
              </c:strCache>
            </c:strRef>
          </c:tx>
          <c:invertIfNegative val="0"/>
          <c:cat>
            <c:strRef>
              <c:f>Formulas!$BE$91:$BE$94</c:f>
              <c:strCache>
                <c:ptCount val="4"/>
                <c:pt idx="0">
                  <c:v>ES</c:v>
                </c:pt>
                <c:pt idx="1">
                  <c:v>TH</c:v>
                </c:pt>
                <c:pt idx="2">
                  <c:v>RR</c:v>
                </c:pt>
                <c:pt idx="3">
                  <c:v>All Programs</c:v>
                </c:pt>
              </c:strCache>
            </c:strRef>
          </c:cat>
          <c:val>
            <c:numRef>
              <c:f>Formulas!$BG$91:$BG$94</c:f>
              <c:numCache>
                <c:formatCode>0%</c:formatCode>
                <c:ptCount val="4"/>
                <c:pt idx="0">
                  <c:v>0.13432835820895522</c:v>
                </c:pt>
                <c:pt idx="1">
                  <c:v>8.203125E-2</c:v>
                </c:pt>
                <c:pt idx="2">
                  <c:v>5.4755043227665709E-2</c:v>
                </c:pt>
                <c:pt idx="3">
                  <c:v>9.0371550478873644E-2</c:v>
                </c:pt>
              </c:numCache>
            </c:numRef>
          </c:val>
        </c:ser>
        <c:dLbls>
          <c:showLegendKey val="0"/>
          <c:showVal val="0"/>
          <c:showCatName val="0"/>
          <c:showSerName val="0"/>
          <c:showPercent val="0"/>
          <c:showBubbleSize val="0"/>
        </c:dLbls>
        <c:gapWidth val="150"/>
        <c:axId val="596311336"/>
        <c:axId val="596309376"/>
      </c:barChart>
      <c:catAx>
        <c:axId val="596313688"/>
        <c:scaling>
          <c:orientation val="minMax"/>
        </c:scaling>
        <c:delete val="0"/>
        <c:axPos val="b"/>
        <c:numFmt formatCode="General" sourceLinked="0"/>
        <c:majorTickMark val="out"/>
        <c:minorTickMark val="none"/>
        <c:tickLblPos val="nextTo"/>
        <c:crossAx val="596308592"/>
        <c:crosses val="autoZero"/>
        <c:auto val="1"/>
        <c:lblAlgn val="ctr"/>
        <c:lblOffset val="100"/>
        <c:noMultiLvlLbl val="0"/>
      </c:catAx>
      <c:valAx>
        <c:axId val="596308592"/>
        <c:scaling>
          <c:orientation val="minMax"/>
        </c:scaling>
        <c:delete val="0"/>
        <c:axPos val="l"/>
        <c:majorGridlines/>
        <c:numFmt formatCode="0%" sourceLinked="1"/>
        <c:majorTickMark val="out"/>
        <c:minorTickMark val="none"/>
        <c:tickLblPos val="nextTo"/>
        <c:crossAx val="596313688"/>
        <c:crosses val="autoZero"/>
        <c:crossBetween val="between"/>
      </c:valAx>
      <c:valAx>
        <c:axId val="596309376"/>
        <c:scaling>
          <c:orientation val="minMax"/>
        </c:scaling>
        <c:delete val="1"/>
        <c:axPos val="r"/>
        <c:numFmt formatCode="0%" sourceLinked="1"/>
        <c:majorTickMark val="out"/>
        <c:minorTickMark val="none"/>
        <c:tickLblPos val="none"/>
        <c:crossAx val="596311336"/>
        <c:crosses val="max"/>
        <c:crossBetween val="between"/>
      </c:valAx>
      <c:catAx>
        <c:axId val="596311336"/>
        <c:scaling>
          <c:orientation val="minMax"/>
        </c:scaling>
        <c:delete val="1"/>
        <c:axPos val="b"/>
        <c:numFmt formatCode="General" sourceLinked="1"/>
        <c:majorTickMark val="out"/>
        <c:minorTickMark val="none"/>
        <c:tickLblPos val="none"/>
        <c:crossAx val="596309376"/>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ayout>
        <c:manualLayout>
          <c:xMode val="edge"/>
          <c:yMode val="edge"/>
          <c:x val="2.21933508311461E-2"/>
          <c:y val="0.89784777824481465"/>
          <c:w val="0.23894663167104283"/>
          <c:h val="8.3648825944967489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33" l="0.70000000000000062" r="0.70000000000000062" t="0.75000000000000433"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Formulas!$BD$129</c:f>
          <c:strCache>
            <c:ptCount val="1"/>
            <c:pt idx="0">
              <c:v>20C. Change in Permanent Housing Exits that "Stick"
All Households</c:v>
            </c:pt>
          </c:strCache>
        </c:strRef>
      </c:tx>
      <c:layout>
        <c:manualLayout>
          <c:xMode val="edge"/>
          <c:yMode val="edge"/>
          <c:x val="6.0095437923438919E-3"/>
          <c:y val="4.3422722597868694E-3"/>
        </c:manualLayout>
      </c:layout>
      <c:overlay val="0"/>
      <c:txPr>
        <a:bodyPr/>
        <a:lstStyle/>
        <a:p>
          <a:pPr algn="l">
            <a:defRPr sz="1200"/>
          </a:pPr>
          <a:endParaRPr lang="en-US"/>
        </a:p>
      </c:txPr>
    </c:title>
    <c:autoTitleDeleted val="0"/>
    <c:plotArea>
      <c:layout>
        <c:manualLayout>
          <c:layoutTarget val="inner"/>
          <c:xMode val="edge"/>
          <c:yMode val="edge"/>
          <c:x val="9.6941528385913245E-2"/>
          <c:y val="0.23570947941968096"/>
          <c:w val="0.8514158517525654"/>
          <c:h val="0.5614305017615222"/>
        </c:manualLayout>
      </c:layout>
      <c:barChart>
        <c:barDir val="col"/>
        <c:grouping val="clustered"/>
        <c:varyColors val="0"/>
        <c:ser>
          <c:idx val="4"/>
          <c:order val="4"/>
          <c:tx>
            <c:strRef>
              <c:f>Formulas!$BL$127:$BL$128</c:f>
              <c:strCache>
                <c:ptCount val="2"/>
                <c:pt idx="0">
                  <c:v>Current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Formulas!$BL$129:$BL$140</c:f>
              <c:numCache>
                <c:formatCode>General</c:formatCode>
                <c:ptCount val="12"/>
                <c:pt idx="0" formatCode="#,##0">
                  <c:v>402</c:v>
                </c:pt>
                <c:pt idx="3" formatCode="#,##0">
                  <c:v>256</c:v>
                </c:pt>
                <c:pt idx="6" formatCode="#,##0">
                  <c:v>347</c:v>
                </c:pt>
                <c:pt idx="9" formatCode="#,##0">
                  <c:v>1005</c:v>
                </c:pt>
              </c:numCache>
            </c:numRef>
          </c:val>
        </c:ser>
        <c:ser>
          <c:idx val="5"/>
          <c:order val="5"/>
          <c:tx>
            <c:strRef>
              <c:f>Formulas!$BM$127:$BM$128</c:f>
              <c:strCache>
                <c:ptCount val="2"/>
                <c:pt idx="0">
                  <c:v>Current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Formulas!$BM$129:$BM$140</c:f>
              <c:numCache>
                <c:formatCode>General</c:formatCode>
                <c:ptCount val="12"/>
                <c:pt idx="0" formatCode="#,##0">
                  <c:v>348</c:v>
                </c:pt>
                <c:pt idx="3" formatCode="#,##0">
                  <c:v>235</c:v>
                </c:pt>
                <c:pt idx="6" formatCode="#,##0">
                  <c:v>328</c:v>
                </c:pt>
                <c:pt idx="9" formatCode="#,##0">
                  <c:v>911</c:v>
                </c:pt>
              </c:numCache>
            </c:numRef>
          </c:val>
        </c:ser>
        <c:ser>
          <c:idx val="6"/>
          <c:order val="6"/>
          <c:tx>
            <c:strRef>
              <c:f>Formulas!$BN$127:$BN$128</c:f>
              <c:strCache>
                <c:ptCount val="2"/>
                <c:pt idx="0">
                  <c:v>New Returns</c:v>
                </c:pt>
              </c:strCache>
            </c:strRef>
          </c:tx>
          <c:invertIfNegative val="0"/>
          <c:dLbls>
            <c:delete val="1"/>
          </c:dLbls>
          <c:cat>
            <c:strRef>
              <c:f>Formulas!$BE$129:$BE$140</c:f>
              <c:strCache>
                <c:ptCount val="10"/>
                <c:pt idx="0">
                  <c:v>ES</c:v>
                </c:pt>
                <c:pt idx="3">
                  <c:v>TH</c:v>
                </c:pt>
                <c:pt idx="6">
                  <c:v>RR</c:v>
                </c:pt>
                <c:pt idx="9">
                  <c:v>All Programs</c:v>
                </c:pt>
              </c:strCache>
            </c:strRef>
          </c:cat>
          <c:val>
            <c:numRef>
              <c:f>Formulas!$BN$129:$BN$140</c:f>
              <c:numCache>
                <c:formatCode>#,##0</c:formatCode>
                <c:ptCount val="12"/>
                <c:pt idx="1">
                  <c:v>402</c:v>
                </c:pt>
                <c:pt idx="4">
                  <c:v>256</c:v>
                </c:pt>
                <c:pt idx="7">
                  <c:v>347</c:v>
                </c:pt>
                <c:pt idx="10">
                  <c:v>1005</c:v>
                </c:pt>
              </c:numCache>
            </c:numRef>
          </c:val>
        </c:ser>
        <c:ser>
          <c:idx val="7"/>
          <c:order val="7"/>
          <c:tx>
            <c:strRef>
              <c:f>Formulas!$BO$127:$BO$128</c:f>
              <c:strCache>
                <c:ptCount val="2"/>
                <c:pt idx="0">
                  <c:v>New PH Exits that "Stick"</c:v>
                </c:pt>
              </c:strCache>
            </c:strRef>
          </c:tx>
          <c:invertIfNegative val="0"/>
          <c:dLbls>
            <c:delete val="1"/>
          </c:dLbls>
          <c:cat>
            <c:strRef>
              <c:f>Formulas!$BE$129:$BE$140</c:f>
              <c:strCache>
                <c:ptCount val="10"/>
                <c:pt idx="0">
                  <c:v>ES</c:v>
                </c:pt>
                <c:pt idx="3">
                  <c:v>TH</c:v>
                </c:pt>
                <c:pt idx="6">
                  <c:v>RR</c:v>
                </c:pt>
                <c:pt idx="9">
                  <c:v>All Programs</c:v>
                </c:pt>
              </c:strCache>
            </c:strRef>
          </c:cat>
          <c:val>
            <c:numRef>
              <c:f>Formulas!$BO$129:$BO$140</c:f>
              <c:numCache>
                <c:formatCode>#,##0</c:formatCode>
                <c:ptCount val="12"/>
                <c:pt idx="1">
                  <c:v>348</c:v>
                </c:pt>
                <c:pt idx="4">
                  <c:v>235</c:v>
                </c:pt>
                <c:pt idx="7">
                  <c:v>328</c:v>
                </c:pt>
                <c:pt idx="10">
                  <c:v>911</c:v>
                </c:pt>
              </c:numCache>
            </c:numRef>
          </c:val>
        </c:ser>
        <c:dLbls>
          <c:showLegendKey val="0"/>
          <c:showVal val="1"/>
          <c:showCatName val="0"/>
          <c:showSerName val="0"/>
          <c:showPercent val="0"/>
          <c:showBubbleSize val="0"/>
        </c:dLbls>
        <c:gapWidth val="150"/>
        <c:axId val="596317216"/>
        <c:axId val="596319176"/>
      </c:barChart>
      <c:barChart>
        <c:barDir val="col"/>
        <c:grouping val="clustered"/>
        <c:varyColors val="0"/>
        <c:ser>
          <c:idx val="0"/>
          <c:order val="0"/>
          <c:tx>
            <c:strRef>
              <c:f>Formulas!$BF$127:$BF$128</c:f>
              <c:strCache>
                <c:ptCount val="2"/>
                <c:pt idx="0">
                  <c:v>Current Returns</c:v>
                </c:pt>
              </c:strCache>
            </c:strRef>
          </c:tx>
          <c:spPr>
            <a:solidFill>
              <a:schemeClr val="accent1">
                <a:lumMod val="40000"/>
                <a:lumOff val="60000"/>
              </a:schemeClr>
            </a:solidFill>
          </c:spPr>
          <c:invertIfNegative val="0"/>
          <c:cat>
            <c:strRef>
              <c:f>Formulas!$BE$129:$BE$140</c:f>
              <c:strCache>
                <c:ptCount val="10"/>
                <c:pt idx="0">
                  <c:v>ES</c:v>
                </c:pt>
                <c:pt idx="3">
                  <c:v>TH</c:v>
                </c:pt>
                <c:pt idx="6">
                  <c:v>RR</c:v>
                </c:pt>
                <c:pt idx="9">
                  <c:v>All Programs</c:v>
                </c:pt>
              </c:strCache>
            </c:strRef>
          </c:cat>
          <c:val>
            <c:numRef>
              <c:f>Formulas!$BF$129:$BF$140</c:f>
              <c:numCache>
                <c:formatCode>General</c:formatCode>
                <c:ptCount val="12"/>
                <c:pt idx="0" formatCode="#,##0">
                  <c:v>402</c:v>
                </c:pt>
                <c:pt idx="3" formatCode="#,##0">
                  <c:v>256</c:v>
                </c:pt>
                <c:pt idx="6" formatCode="#,##0">
                  <c:v>347</c:v>
                </c:pt>
                <c:pt idx="9" formatCode="#,##0">
                  <c:v>1005</c:v>
                </c:pt>
              </c:numCache>
            </c:numRef>
          </c:val>
        </c:ser>
        <c:ser>
          <c:idx val="1"/>
          <c:order val="1"/>
          <c:tx>
            <c:strRef>
              <c:f>Formulas!$BG$127:$BG$128</c:f>
              <c:strCache>
                <c:ptCount val="2"/>
                <c:pt idx="0">
                  <c:v>Current PH Exits that "Stick"</c:v>
                </c:pt>
              </c:strCache>
            </c:strRef>
          </c:tx>
          <c:spPr>
            <a:solidFill>
              <a:schemeClr val="accent1">
                <a:lumMod val="75000"/>
              </a:schemeClr>
            </a:solidFill>
          </c:spPr>
          <c:invertIfNegative val="0"/>
          <c:cat>
            <c:strRef>
              <c:f>Formulas!$BE$129:$BE$140</c:f>
              <c:strCache>
                <c:ptCount val="10"/>
                <c:pt idx="0">
                  <c:v>ES</c:v>
                </c:pt>
                <c:pt idx="3">
                  <c:v>TH</c:v>
                </c:pt>
                <c:pt idx="6">
                  <c:v>RR</c:v>
                </c:pt>
                <c:pt idx="9">
                  <c:v>All Programs</c:v>
                </c:pt>
              </c:strCache>
            </c:strRef>
          </c:cat>
          <c:val>
            <c:numRef>
              <c:f>Formulas!$BG$129:$BG$140</c:f>
              <c:numCache>
                <c:formatCode>General</c:formatCode>
                <c:ptCount val="12"/>
                <c:pt idx="0" formatCode="#,##0">
                  <c:v>348</c:v>
                </c:pt>
                <c:pt idx="3" formatCode="#,##0">
                  <c:v>235</c:v>
                </c:pt>
                <c:pt idx="6" formatCode="#,##0">
                  <c:v>328</c:v>
                </c:pt>
                <c:pt idx="9" formatCode="#,##0">
                  <c:v>911</c:v>
                </c:pt>
              </c:numCache>
            </c:numRef>
          </c:val>
        </c:ser>
        <c:ser>
          <c:idx val="2"/>
          <c:order val="2"/>
          <c:tx>
            <c:strRef>
              <c:f>Formulas!$BH$127:$BH$128</c:f>
              <c:strCache>
                <c:ptCount val="2"/>
                <c:pt idx="0">
                  <c:v>New Returns</c:v>
                </c:pt>
              </c:strCache>
            </c:strRef>
          </c:tx>
          <c:spPr>
            <a:solidFill>
              <a:schemeClr val="accent3">
                <a:lumMod val="40000"/>
                <a:lumOff val="60000"/>
              </a:schemeClr>
            </a:solidFill>
          </c:spPr>
          <c:invertIfNegative val="0"/>
          <c:dLbls>
            <c:dLbl>
              <c:idx val="1"/>
              <c:tx>
                <c:strRef>
                  <c:f>Formulas!$BK$129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{BA4B4458-BFD4-4E03-8ECF-A5C259DE703A}</c15:txfldGUID>
                      <c15:f>Formulas!$BK$129</c15:f>
                      <c15:dlblFieldTableCache>
                        <c:ptCount val="1"/>
                      </c15:dlblFieldTableCache>
                    </c15:dlblFTEntry>
                  </c15:dlblFieldTable>
                  <c15:showDataLabelsRange val="0"/>
                </c:ext>
              </c:extLst>
            </c:dLbl>
            <c:dLbl>
              <c:idx val="4"/>
              <c:tx>
                <c:strRef>
                  <c:f>Formulas!$BK$132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{54B77FDF-1D2E-4E80-AA27-2591EC20C2D0}</c15:txfldGUID>
                      <c15:f>Formulas!$BK$132</c15:f>
                      <c15:dlblFieldTableCache>
                        <c:ptCount val="1"/>
                      </c15:dlblFieldTableCache>
                    </c15:dlblFTEntry>
                  </c15:dlblFieldTable>
                  <c15:showDataLabelsRange val="0"/>
                </c:ext>
              </c:extLst>
            </c:dLbl>
            <c:dLbl>
              <c:idx val="7"/>
              <c:tx>
                <c:strRef>
                  <c:f>Formulas!$BK$135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{9C3BB54A-2460-4B7E-AC47-AC6735F5889E}</c15:txfldGUID>
                      <c15:f>Formulas!$BK$135</c15:f>
                      <c15:dlblFieldTableCache>
                        <c:ptCount val="1"/>
                      </c15:dlblFieldTableCache>
                    </c15:dlblFTEntry>
                  </c15:dlblFieldTable>
                  <c15:showDataLabelsRange val="0"/>
                </c:ext>
              </c:extLst>
            </c:dLbl>
            <c:dLbl>
              <c:idx val="10"/>
              <c:tx>
                <c:strRef>
                  <c:f>Formulas!$BK$138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{164486E1-2C84-4FBA-825E-3E26285EDD13}</c15:txfldGUID>
                      <c15:f>Formulas!$BK$138</c15:f>
                      <c15:dlblFieldTableCache>
                        <c:ptCount val="1"/>
                      </c15:dlblFieldTableCache>
                    </c15:dlblFTEntry>
                  </c15:dlblFieldTable>
                  <c15:showDataLabelsRange val="0"/>
                </c:ext>
              </c:extLst>
            </c:dLbl>
            <c:spPr>
              <a:noFill/>
              <a:ln>
                <a:noFill/>
              </a:ln>
              <a:effectLst/>
            </c:spPr>
            <c:txPr>
              <a:bodyPr/>
              <a:lstStyle/>
              <a:p>
                <a:pPr>
                  <a:defRPr sz="105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Formulas!$BE$129:$BE$140</c:f>
              <c:strCache>
                <c:ptCount val="10"/>
                <c:pt idx="0">
                  <c:v>ES</c:v>
                </c:pt>
                <c:pt idx="3">
                  <c:v>TH</c:v>
                </c:pt>
                <c:pt idx="6">
                  <c:v>RR</c:v>
                </c:pt>
                <c:pt idx="9">
                  <c:v>All Programs</c:v>
                </c:pt>
              </c:strCache>
            </c:strRef>
          </c:cat>
          <c:val>
            <c:numRef>
              <c:f>Formulas!$BH$129:$BH$140</c:f>
              <c:numCache>
                <c:formatCode>#,##0</c:formatCode>
                <c:ptCount val="12"/>
                <c:pt idx="1">
                  <c:v>402</c:v>
                </c:pt>
                <c:pt idx="4">
                  <c:v>256</c:v>
                </c:pt>
                <c:pt idx="7">
                  <c:v>347</c:v>
                </c:pt>
                <c:pt idx="10">
                  <c:v>1005</c:v>
                </c:pt>
              </c:numCache>
            </c:numRef>
          </c:val>
        </c:ser>
        <c:ser>
          <c:idx val="3"/>
          <c:order val="3"/>
          <c:tx>
            <c:strRef>
              <c:f>Formulas!$BI$127:$BI$128</c:f>
              <c:strCache>
                <c:ptCount val="2"/>
                <c:pt idx="0">
                  <c:v>New PH Exits that "Stick"</c:v>
                </c:pt>
              </c:strCache>
            </c:strRef>
          </c:tx>
          <c:spPr>
            <a:solidFill>
              <a:schemeClr val="accent3">
                <a:lumMod val="75000"/>
              </a:schemeClr>
            </a:solidFill>
          </c:spPr>
          <c:invertIfNegative val="0"/>
          <c:cat>
            <c:strRef>
              <c:f>Formulas!$BE$129:$BE$140</c:f>
              <c:strCache>
                <c:ptCount val="10"/>
                <c:pt idx="0">
                  <c:v>ES</c:v>
                </c:pt>
                <c:pt idx="3">
                  <c:v>TH</c:v>
                </c:pt>
                <c:pt idx="6">
                  <c:v>RR</c:v>
                </c:pt>
                <c:pt idx="9">
                  <c:v>All Programs</c:v>
                </c:pt>
              </c:strCache>
            </c:strRef>
          </c:cat>
          <c:val>
            <c:numRef>
              <c:f>Formulas!$BI$129:$BI$140</c:f>
              <c:numCache>
                <c:formatCode>#,##0</c:formatCode>
                <c:ptCount val="12"/>
                <c:pt idx="1">
                  <c:v>348</c:v>
                </c:pt>
                <c:pt idx="4">
                  <c:v>235</c:v>
                </c:pt>
                <c:pt idx="7">
                  <c:v>328</c:v>
                </c:pt>
                <c:pt idx="10">
                  <c:v>911</c:v>
                </c:pt>
              </c:numCache>
            </c:numRef>
          </c:val>
        </c:ser>
        <c:dLbls>
          <c:showLegendKey val="0"/>
          <c:showVal val="0"/>
          <c:showCatName val="0"/>
          <c:showSerName val="0"/>
          <c:showPercent val="0"/>
          <c:showBubbleSize val="0"/>
        </c:dLbls>
        <c:gapWidth val="0"/>
        <c:overlap val="100"/>
        <c:axId val="596316824"/>
        <c:axId val="596316432"/>
      </c:barChart>
      <c:catAx>
        <c:axId val="596317216"/>
        <c:scaling>
          <c:orientation val="minMax"/>
        </c:scaling>
        <c:delete val="0"/>
        <c:axPos val="b"/>
        <c:numFmt formatCode="General" sourceLinked="0"/>
        <c:majorTickMark val="out"/>
        <c:minorTickMark val="none"/>
        <c:tickLblPos val="nextTo"/>
        <c:crossAx val="596319176"/>
        <c:crosses val="autoZero"/>
        <c:auto val="1"/>
        <c:lblAlgn val="ctr"/>
        <c:lblOffset val="100"/>
        <c:noMultiLvlLbl val="0"/>
      </c:catAx>
      <c:valAx>
        <c:axId val="596319176"/>
        <c:scaling>
          <c:orientation val="minMax"/>
        </c:scaling>
        <c:delete val="0"/>
        <c:axPos val="l"/>
        <c:majorGridlines/>
        <c:numFmt formatCode="#,##0" sourceLinked="1"/>
        <c:majorTickMark val="out"/>
        <c:minorTickMark val="none"/>
        <c:tickLblPos val="nextTo"/>
        <c:crossAx val="596317216"/>
        <c:crosses val="autoZero"/>
        <c:crossBetween val="between"/>
      </c:valAx>
      <c:valAx>
        <c:axId val="596316432"/>
        <c:scaling>
          <c:orientation val="minMax"/>
        </c:scaling>
        <c:delete val="1"/>
        <c:axPos val="r"/>
        <c:numFmt formatCode="#,##0" sourceLinked="1"/>
        <c:majorTickMark val="out"/>
        <c:minorTickMark val="none"/>
        <c:tickLblPos val="none"/>
        <c:crossAx val="596316824"/>
        <c:crosses val="max"/>
        <c:crossBetween val="between"/>
      </c:valAx>
      <c:catAx>
        <c:axId val="596316824"/>
        <c:scaling>
          <c:orientation val="minMax"/>
        </c:scaling>
        <c:delete val="1"/>
        <c:axPos val="b"/>
        <c:numFmt formatCode="General" sourceLinked="1"/>
        <c:majorTickMark val="out"/>
        <c:minorTickMark val="none"/>
        <c:tickLblPos val="none"/>
        <c:crossAx val="596316432"/>
        <c:crosses val="autoZero"/>
        <c:auto val="1"/>
        <c:lblAlgn val="ctr"/>
        <c:lblOffset val="100"/>
        <c:noMultiLvlLbl val="0"/>
      </c:catAx>
      <c:spPr>
        <a:solidFill>
          <a:sysClr val="window" lastClr="FFFFFF">
            <a:lumMod val="95000"/>
            <a:alpha val="50000"/>
          </a:sysClr>
        </a:solidFill>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8159673870971357E-3"/>
          <c:y val="0.87552517560559884"/>
          <c:w val="0.73504095781883394"/>
          <c:h val="0.12447482439440688"/>
        </c:manualLayout>
      </c:layout>
      <c:overlay val="0"/>
    </c:legend>
    <c:plotVisOnly val="1"/>
    <c:dispBlanksAs val="gap"/>
    <c:showDLblsOverMax val="0"/>
  </c:chart>
  <c:spPr>
    <a:solidFill>
      <a:sysClr val="window" lastClr="FFFFFF">
        <a:lumMod val="95000"/>
        <a:alpha val="50000"/>
      </a:sysClr>
    </a:solidFill>
  </c:spPr>
  <c:printSettings>
    <c:headerFooter/>
    <c:pageMargins b="0.75000000000000411" l="0.70000000000000062" r="0.70000000000000062" t="0.75000000000000411"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Formulas!$BS$26</c:f>
          <c:strCache>
            <c:ptCount val="1"/>
            <c:pt idx="0">
              <c:v>22A. Change in Permanent Housing Exits
Single Adults</c:v>
            </c:pt>
          </c:strCache>
        </c:strRef>
      </c:tx>
      <c:layout>
        <c:manualLayout>
          <c:xMode val="edge"/>
          <c:yMode val="edge"/>
          <c:x val="3.4860017497813063E-3"/>
          <c:y val="4.6258506374749955E-3"/>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4692229772921761"/>
        </c:manualLayout>
      </c:layout>
      <c:barChart>
        <c:barDir val="col"/>
        <c:grouping val="clustered"/>
        <c:varyColors val="0"/>
        <c:ser>
          <c:idx val="2"/>
          <c:order val="2"/>
          <c:tx>
            <c:strRef>
              <c:f>Formulas!$BX$25</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Formulas!$BT$26:$BT$29</c:f>
              <c:strCache>
                <c:ptCount val="4"/>
                <c:pt idx="0">
                  <c:v>ES</c:v>
                </c:pt>
                <c:pt idx="1">
                  <c:v>TH</c:v>
                </c:pt>
                <c:pt idx="2">
                  <c:v>RR</c:v>
                </c:pt>
                <c:pt idx="3">
                  <c:v>All Programs</c:v>
                </c:pt>
              </c:strCache>
            </c:strRef>
          </c:cat>
          <c:val>
            <c:numRef>
              <c:f>Formulas!$BX$26:$BX$29</c:f>
              <c:numCache>
                <c:formatCode>#,##0</c:formatCode>
                <c:ptCount val="4"/>
                <c:pt idx="0">
                  <c:v>265</c:v>
                </c:pt>
                <c:pt idx="1">
                  <c:v>98</c:v>
                </c:pt>
                <c:pt idx="2">
                  <c:v>112</c:v>
                </c:pt>
                <c:pt idx="3">
                  <c:v>475</c:v>
                </c:pt>
              </c:numCache>
            </c:numRef>
          </c:val>
        </c:ser>
        <c:ser>
          <c:idx val="3"/>
          <c:order val="3"/>
          <c:tx>
            <c:strRef>
              <c:f>Formulas!$BY$25</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Formulas!$BT$26:$BT$29</c:f>
              <c:strCache>
                <c:ptCount val="4"/>
                <c:pt idx="0">
                  <c:v>ES</c:v>
                </c:pt>
                <c:pt idx="1">
                  <c:v>TH</c:v>
                </c:pt>
                <c:pt idx="2">
                  <c:v>RR</c:v>
                </c:pt>
                <c:pt idx="3">
                  <c:v>All Programs</c:v>
                </c:pt>
              </c:strCache>
            </c:strRef>
          </c:cat>
          <c:val>
            <c:numRef>
              <c:f>Formulas!$BY$26:$BY$29</c:f>
              <c:numCache>
                <c:formatCode>#,##0</c:formatCode>
                <c:ptCount val="4"/>
                <c:pt idx="0">
                  <c:v>265</c:v>
                </c:pt>
                <c:pt idx="1">
                  <c:v>97.999999999999986</c:v>
                </c:pt>
                <c:pt idx="2">
                  <c:v>112</c:v>
                </c:pt>
                <c:pt idx="3">
                  <c:v>475</c:v>
                </c:pt>
              </c:numCache>
            </c:numRef>
          </c:val>
        </c:ser>
        <c:dLbls>
          <c:showLegendKey val="0"/>
          <c:showVal val="1"/>
          <c:showCatName val="0"/>
          <c:showSerName val="0"/>
          <c:showPercent val="0"/>
          <c:showBubbleSize val="0"/>
        </c:dLbls>
        <c:gapWidth val="75"/>
        <c:axId val="596318392"/>
        <c:axId val="596318784"/>
      </c:barChart>
      <c:barChart>
        <c:barDir val="col"/>
        <c:grouping val="clustered"/>
        <c:varyColors val="0"/>
        <c:ser>
          <c:idx val="0"/>
          <c:order val="0"/>
          <c:tx>
            <c:strRef>
              <c:f>Formulas!$BU$25</c:f>
              <c:strCache>
                <c:ptCount val="1"/>
                <c:pt idx="0">
                  <c:v>Current PH Exits</c:v>
                </c:pt>
              </c:strCache>
            </c:strRef>
          </c:tx>
          <c:invertIfNegative val="0"/>
          <c:cat>
            <c:strRef>
              <c:f>Formulas!$BT$26:$BT$29</c:f>
              <c:strCache>
                <c:ptCount val="4"/>
                <c:pt idx="0">
                  <c:v>ES</c:v>
                </c:pt>
                <c:pt idx="1">
                  <c:v>TH</c:v>
                </c:pt>
                <c:pt idx="2">
                  <c:v>RR</c:v>
                </c:pt>
                <c:pt idx="3">
                  <c:v>All Programs</c:v>
                </c:pt>
              </c:strCache>
            </c:strRef>
          </c:cat>
          <c:val>
            <c:numRef>
              <c:f>Formulas!$BU$26:$BU$29</c:f>
              <c:numCache>
                <c:formatCode>#,##0</c:formatCode>
                <c:ptCount val="4"/>
                <c:pt idx="0">
                  <c:v>265</c:v>
                </c:pt>
                <c:pt idx="1">
                  <c:v>98</c:v>
                </c:pt>
                <c:pt idx="2">
                  <c:v>112</c:v>
                </c:pt>
                <c:pt idx="3">
                  <c:v>475</c:v>
                </c:pt>
              </c:numCache>
            </c:numRef>
          </c:val>
        </c:ser>
        <c:ser>
          <c:idx val="1"/>
          <c:order val="1"/>
          <c:tx>
            <c:strRef>
              <c:f>Formulas!$BV$25</c:f>
              <c:strCache>
                <c:ptCount val="1"/>
                <c:pt idx="0">
                  <c:v>New PH Exits</c:v>
                </c:pt>
              </c:strCache>
            </c:strRef>
          </c:tx>
          <c:invertIfNegative val="0"/>
          <c:dLbls>
            <c:dLbl>
              <c:idx val="0"/>
              <c:tx>
                <c:strRef>
                  <c:f>Formulas!$BW$26</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{B0BC637F-7408-4ADE-B70C-CE89BF1EC609}</c15:txfldGUID>
                      <c15:f>Formulas!$BW$26</c15:f>
                      <c15:dlblFieldTableCache>
                        <c:ptCount val="1"/>
                      </c15:dlblFieldTableCache>
                    </c15:dlblFTEntry>
                  </c15:dlblFieldTable>
                  <c15:showDataLabelsRange val="0"/>
                </c:ext>
              </c:extLst>
            </c:dLbl>
            <c:dLbl>
              <c:idx val="1"/>
              <c:tx>
                <c:strRef>
                  <c:f>Formulas!$BW$27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{26FD7658-847F-4735-85C2-90E409CF0F64}</c15:txfldGUID>
                      <c15:f>Formulas!$BW$27</c15:f>
                      <c15:dlblFieldTableCache>
                        <c:ptCount val="1"/>
                      </c15:dlblFieldTableCache>
                    </c15:dlblFTEntry>
                  </c15:dlblFieldTable>
                  <c15:showDataLabelsRange val="0"/>
                </c:ext>
              </c:extLst>
            </c:dLbl>
            <c:dLbl>
              <c:idx val="2"/>
              <c:tx>
                <c:strRef>
                  <c:f>Formulas!$BW$28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{76E5B966-3B92-4938-A3B1-A5755746C96A}</c15:txfldGUID>
                      <c15:f>Formulas!$BW$28</c15:f>
                      <c15:dlblFieldTableCache>
                        <c:ptCount val="1"/>
                      </c15:dlblFieldTableCache>
                    </c15:dlblFTEntry>
                  </c15:dlblFieldTable>
                  <c15:showDataLabelsRange val="0"/>
                </c:ext>
              </c:extLst>
            </c:dLbl>
            <c:dLbl>
              <c:idx val="3"/>
              <c:tx>
                <c:strRef>
                  <c:f>Formulas!$BW$29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{228F95A3-380A-415B-9CF7-1FDCCB021901}</c15:txfldGUID>
                      <c15:f>Formulas!$BW$29</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Formulas!$BT$26:$BT$29</c:f>
              <c:strCache>
                <c:ptCount val="4"/>
                <c:pt idx="0">
                  <c:v>ES</c:v>
                </c:pt>
                <c:pt idx="1">
                  <c:v>TH</c:v>
                </c:pt>
                <c:pt idx="2">
                  <c:v>RR</c:v>
                </c:pt>
                <c:pt idx="3">
                  <c:v>All Programs</c:v>
                </c:pt>
              </c:strCache>
            </c:strRef>
          </c:cat>
          <c:val>
            <c:numRef>
              <c:f>Formulas!$BV$26:$BV$29</c:f>
              <c:numCache>
                <c:formatCode>#,##0</c:formatCode>
                <c:ptCount val="4"/>
                <c:pt idx="0">
                  <c:v>265</c:v>
                </c:pt>
                <c:pt idx="1">
                  <c:v>97.999999999999986</c:v>
                </c:pt>
                <c:pt idx="2">
                  <c:v>112</c:v>
                </c:pt>
                <c:pt idx="3">
                  <c:v>475</c:v>
                </c:pt>
              </c:numCache>
            </c:numRef>
          </c:val>
        </c:ser>
        <c:dLbls>
          <c:showLegendKey val="0"/>
          <c:showVal val="0"/>
          <c:showCatName val="0"/>
          <c:showSerName val="0"/>
          <c:showPercent val="0"/>
          <c:showBubbleSize val="0"/>
        </c:dLbls>
        <c:gapWidth val="75"/>
        <c:axId val="607089272"/>
        <c:axId val="596316040"/>
      </c:barChart>
      <c:catAx>
        <c:axId val="596318392"/>
        <c:scaling>
          <c:orientation val="minMax"/>
        </c:scaling>
        <c:delete val="0"/>
        <c:axPos val="b"/>
        <c:numFmt formatCode="General" sourceLinked="0"/>
        <c:majorTickMark val="none"/>
        <c:minorTickMark val="none"/>
        <c:tickLblPos val="nextTo"/>
        <c:crossAx val="596318784"/>
        <c:crosses val="autoZero"/>
        <c:auto val="1"/>
        <c:lblAlgn val="ctr"/>
        <c:lblOffset val="100"/>
        <c:noMultiLvlLbl val="0"/>
      </c:catAx>
      <c:valAx>
        <c:axId val="596318784"/>
        <c:scaling>
          <c:orientation val="minMax"/>
        </c:scaling>
        <c:delete val="0"/>
        <c:axPos val="l"/>
        <c:majorGridlines/>
        <c:numFmt formatCode="#,##0" sourceLinked="1"/>
        <c:majorTickMark val="none"/>
        <c:minorTickMark val="none"/>
        <c:tickLblPos val="nextTo"/>
        <c:crossAx val="596318392"/>
        <c:crosses val="autoZero"/>
        <c:crossBetween val="between"/>
      </c:valAx>
      <c:valAx>
        <c:axId val="596316040"/>
        <c:scaling>
          <c:orientation val="minMax"/>
        </c:scaling>
        <c:delete val="1"/>
        <c:axPos val="r"/>
        <c:numFmt formatCode="#,##0" sourceLinked="1"/>
        <c:majorTickMark val="out"/>
        <c:minorTickMark val="none"/>
        <c:tickLblPos val="none"/>
        <c:crossAx val="607089272"/>
        <c:crosses val="max"/>
        <c:crossBetween val="between"/>
      </c:valAx>
      <c:catAx>
        <c:axId val="607089272"/>
        <c:scaling>
          <c:orientation val="minMax"/>
        </c:scaling>
        <c:delete val="1"/>
        <c:axPos val="b"/>
        <c:numFmt formatCode="General" sourceLinked="1"/>
        <c:majorTickMark val="out"/>
        <c:minorTickMark val="none"/>
        <c:tickLblPos val="none"/>
        <c:crossAx val="596316040"/>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1985"/>
          <c:y val="0.90709944231182382"/>
          <c:w val="0.47018000874890636"/>
          <c:h val="8.3648856413233122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Formulas!$BS$42</c:f>
          <c:strCache>
            <c:ptCount val="1"/>
            <c:pt idx="0">
              <c:v>22B. Change in Permanent Housing Exits
Family Households</c:v>
            </c:pt>
          </c:strCache>
        </c:strRef>
      </c:tx>
      <c:layout>
        <c:manualLayout>
          <c:xMode val="edge"/>
          <c:yMode val="edge"/>
          <c:x val="9.5822397200350266E-4"/>
          <c:y val="0"/>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4692229772921761"/>
        </c:manualLayout>
      </c:layout>
      <c:barChart>
        <c:barDir val="col"/>
        <c:grouping val="clustered"/>
        <c:varyColors val="0"/>
        <c:ser>
          <c:idx val="2"/>
          <c:order val="2"/>
          <c:tx>
            <c:strRef>
              <c:f>Formulas!$BX$41</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Formulas!$BT$42:$BT$45</c:f>
              <c:strCache>
                <c:ptCount val="4"/>
                <c:pt idx="0">
                  <c:v>ES</c:v>
                </c:pt>
                <c:pt idx="1">
                  <c:v>TH</c:v>
                </c:pt>
                <c:pt idx="2">
                  <c:v>RR</c:v>
                </c:pt>
                <c:pt idx="3">
                  <c:v>All Programs</c:v>
                </c:pt>
              </c:strCache>
            </c:strRef>
          </c:cat>
          <c:val>
            <c:numRef>
              <c:f>Formulas!$BX$42:$BX$45</c:f>
              <c:numCache>
                <c:formatCode>#,##0</c:formatCode>
                <c:ptCount val="4"/>
                <c:pt idx="0">
                  <c:v>137</c:v>
                </c:pt>
                <c:pt idx="1">
                  <c:v>158</c:v>
                </c:pt>
                <c:pt idx="2">
                  <c:v>235</c:v>
                </c:pt>
                <c:pt idx="3">
                  <c:v>530</c:v>
                </c:pt>
              </c:numCache>
            </c:numRef>
          </c:val>
        </c:ser>
        <c:ser>
          <c:idx val="3"/>
          <c:order val="3"/>
          <c:tx>
            <c:strRef>
              <c:f>Formulas!$BY$41</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Formulas!$BT$42:$BT$45</c:f>
              <c:strCache>
                <c:ptCount val="4"/>
                <c:pt idx="0">
                  <c:v>ES</c:v>
                </c:pt>
                <c:pt idx="1">
                  <c:v>TH</c:v>
                </c:pt>
                <c:pt idx="2">
                  <c:v>RR</c:v>
                </c:pt>
                <c:pt idx="3">
                  <c:v>All Programs</c:v>
                </c:pt>
              </c:strCache>
            </c:strRef>
          </c:cat>
          <c:val>
            <c:numRef>
              <c:f>Formulas!$BY$42:$BY$45</c:f>
              <c:numCache>
                <c:formatCode>#,##0</c:formatCode>
                <c:ptCount val="4"/>
                <c:pt idx="0">
                  <c:v>136.99999999999997</c:v>
                </c:pt>
                <c:pt idx="1">
                  <c:v>158.00000000000003</c:v>
                </c:pt>
                <c:pt idx="2">
                  <c:v>235</c:v>
                </c:pt>
                <c:pt idx="3">
                  <c:v>530</c:v>
                </c:pt>
              </c:numCache>
            </c:numRef>
          </c:val>
        </c:ser>
        <c:dLbls>
          <c:showLegendKey val="0"/>
          <c:showVal val="1"/>
          <c:showCatName val="0"/>
          <c:showSerName val="0"/>
          <c:showPercent val="0"/>
          <c:showBubbleSize val="0"/>
        </c:dLbls>
        <c:gapWidth val="75"/>
        <c:axId val="607092016"/>
        <c:axId val="607090448"/>
      </c:barChart>
      <c:barChart>
        <c:barDir val="col"/>
        <c:grouping val="clustered"/>
        <c:varyColors val="0"/>
        <c:ser>
          <c:idx val="0"/>
          <c:order val="0"/>
          <c:tx>
            <c:strRef>
              <c:f>Formulas!$BU$41</c:f>
              <c:strCache>
                <c:ptCount val="1"/>
                <c:pt idx="0">
                  <c:v>Current PH Exits</c:v>
                </c:pt>
              </c:strCache>
            </c:strRef>
          </c:tx>
          <c:invertIfNegative val="0"/>
          <c:cat>
            <c:strRef>
              <c:f>Formulas!$BT$42:$BT$45</c:f>
              <c:strCache>
                <c:ptCount val="4"/>
                <c:pt idx="0">
                  <c:v>ES</c:v>
                </c:pt>
                <c:pt idx="1">
                  <c:v>TH</c:v>
                </c:pt>
                <c:pt idx="2">
                  <c:v>RR</c:v>
                </c:pt>
                <c:pt idx="3">
                  <c:v>All Programs</c:v>
                </c:pt>
              </c:strCache>
            </c:strRef>
          </c:cat>
          <c:val>
            <c:numRef>
              <c:f>Formulas!$BU$42:$BU$45</c:f>
              <c:numCache>
                <c:formatCode>#,##0</c:formatCode>
                <c:ptCount val="4"/>
                <c:pt idx="0">
                  <c:v>137</c:v>
                </c:pt>
                <c:pt idx="1">
                  <c:v>158</c:v>
                </c:pt>
                <c:pt idx="2">
                  <c:v>235</c:v>
                </c:pt>
                <c:pt idx="3">
                  <c:v>530</c:v>
                </c:pt>
              </c:numCache>
            </c:numRef>
          </c:val>
        </c:ser>
        <c:ser>
          <c:idx val="1"/>
          <c:order val="1"/>
          <c:tx>
            <c:strRef>
              <c:f>Formulas!$BV$41</c:f>
              <c:strCache>
                <c:ptCount val="1"/>
                <c:pt idx="0">
                  <c:v>New PH Exits</c:v>
                </c:pt>
              </c:strCache>
            </c:strRef>
          </c:tx>
          <c:invertIfNegative val="0"/>
          <c:dLbls>
            <c:dLbl>
              <c:idx val="0"/>
              <c:tx>
                <c:strRef>
                  <c:f>Formulas!$BW$42</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{7B99DC3F-E1BE-4D81-A79E-C0D1B9F6A1B7}</c15:txfldGUID>
                      <c15:f>Formulas!$BW$42</c15:f>
                      <c15:dlblFieldTableCache>
                        <c:ptCount val="1"/>
                      </c15:dlblFieldTableCache>
                    </c15:dlblFTEntry>
                  </c15:dlblFieldTable>
                  <c15:showDataLabelsRange val="0"/>
                </c:ext>
              </c:extLst>
            </c:dLbl>
            <c:dLbl>
              <c:idx val="1"/>
              <c:tx>
                <c:strRef>
                  <c:f>Formulas!$BW$43</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{DCE3D5AB-EB68-46D2-BB3C-57C43A92E165}</c15:txfldGUID>
                      <c15:f>Formulas!$BW$43</c15:f>
                      <c15:dlblFieldTableCache>
                        <c:ptCount val="1"/>
                      </c15:dlblFieldTableCache>
                    </c15:dlblFTEntry>
                  </c15:dlblFieldTable>
                  <c15:showDataLabelsRange val="0"/>
                </c:ext>
              </c:extLst>
            </c:dLbl>
            <c:dLbl>
              <c:idx val="2"/>
              <c:tx>
                <c:strRef>
                  <c:f>Formulas!$BW$44</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{706E344C-05FF-4A6A-BFFF-5BB49F274007}</c15:txfldGUID>
                      <c15:f>Formulas!$BW$44</c15:f>
                      <c15:dlblFieldTableCache>
                        <c:ptCount val="1"/>
                      </c15:dlblFieldTableCache>
                    </c15:dlblFTEntry>
                  </c15:dlblFieldTable>
                  <c15:showDataLabelsRange val="0"/>
                </c:ext>
              </c:extLst>
            </c:dLbl>
            <c:dLbl>
              <c:idx val="3"/>
              <c:tx>
                <c:strRef>
                  <c:f>Formulas!$BW$45</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{B3AC05D6-6222-44FC-8A5A-F5671A9C5EB0}</c15:txfldGUID>
                      <c15:f>Formulas!$BW$45</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Formulas!$BT$42:$BT$45</c:f>
              <c:strCache>
                <c:ptCount val="4"/>
                <c:pt idx="0">
                  <c:v>ES</c:v>
                </c:pt>
                <c:pt idx="1">
                  <c:v>TH</c:v>
                </c:pt>
                <c:pt idx="2">
                  <c:v>RR</c:v>
                </c:pt>
                <c:pt idx="3">
                  <c:v>All Programs</c:v>
                </c:pt>
              </c:strCache>
            </c:strRef>
          </c:cat>
          <c:val>
            <c:numRef>
              <c:f>Formulas!$BV$42:$BV$45</c:f>
              <c:numCache>
                <c:formatCode>#,##0</c:formatCode>
                <c:ptCount val="4"/>
                <c:pt idx="0">
                  <c:v>136.99999999999997</c:v>
                </c:pt>
                <c:pt idx="1">
                  <c:v>158.00000000000003</c:v>
                </c:pt>
                <c:pt idx="2">
                  <c:v>235</c:v>
                </c:pt>
                <c:pt idx="3">
                  <c:v>530</c:v>
                </c:pt>
              </c:numCache>
            </c:numRef>
          </c:val>
        </c:ser>
        <c:dLbls>
          <c:showLegendKey val="0"/>
          <c:showVal val="0"/>
          <c:showCatName val="0"/>
          <c:showSerName val="0"/>
          <c:showPercent val="0"/>
          <c:showBubbleSize val="0"/>
        </c:dLbls>
        <c:gapWidth val="75"/>
        <c:axId val="607088880"/>
        <c:axId val="607090056"/>
      </c:barChart>
      <c:catAx>
        <c:axId val="607092016"/>
        <c:scaling>
          <c:orientation val="minMax"/>
        </c:scaling>
        <c:delete val="0"/>
        <c:axPos val="b"/>
        <c:numFmt formatCode="General" sourceLinked="0"/>
        <c:majorTickMark val="none"/>
        <c:minorTickMark val="none"/>
        <c:tickLblPos val="nextTo"/>
        <c:crossAx val="607090448"/>
        <c:crosses val="autoZero"/>
        <c:auto val="1"/>
        <c:lblAlgn val="ctr"/>
        <c:lblOffset val="100"/>
        <c:noMultiLvlLbl val="0"/>
      </c:catAx>
      <c:valAx>
        <c:axId val="607090448"/>
        <c:scaling>
          <c:orientation val="minMax"/>
        </c:scaling>
        <c:delete val="0"/>
        <c:axPos val="l"/>
        <c:majorGridlines/>
        <c:numFmt formatCode="#,##0" sourceLinked="1"/>
        <c:majorTickMark val="none"/>
        <c:minorTickMark val="none"/>
        <c:tickLblPos val="nextTo"/>
        <c:crossAx val="607092016"/>
        <c:crosses val="autoZero"/>
        <c:crossBetween val="between"/>
      </c:valAx>
      <c:valAx>
        <c:axId val="607090056"/>
        <c:scaling>
          <c:orientation val="minMax"/>
        </c:scaling>
        <c:delete val="1"/>
        <c:axPos val="r"/>
        <c:numFmt formatCode="#,##0" sourceLinked="1"/>
        <c:majorTickMark val="out"/>
        <c:minorTickMark val="none"/>
        <c:tickLblPos val="none"/>
        <c:crossAx val="607088880"/>
        <c:crosses val="max"/>
        <c:crossBetween val="between"/>
      </c:valAx>
      <c:catAx>
        <c:axId val="607088880"/>
        <c:scaling>
          <c:orientation val="minMax"/>
        </c:scaling>
        <c:delete val="1"/>
        <c:axPos val="b"/>
        <c:numFmt formatCode="General" sourceLinked="1"/>
        <c:majorTickMark val="out"/>
        <c:minorTickMark val="none"/>
        <c:tickLblPos val="none"/>
        <c:crossAx val="607090056"/>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1985"/>
          <c:y val="0.90709944231182382"/>
          <c:w val="0.47018000874890636"/>
          <c:h val="8.3648856413233122E-2"/>
        </c:manualLayout>
      </c:layout>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Formulas!$BS$58</c:f>
          <c:strCache>
            <c:ptCount val="1"/>
            <c:pt idx="0">
              <c:v>22C. Change in Permanent Housing Exits
All Households</c:v>
            </c:pt>
          </c:strCache>
        </c:strRef>
      </c:tx>
      <c:layout>
        <c:manualLayout>
          <c:xMode val="edge"/>
          <c:yMode val="edge"/>
          <c:x val="1.6318897637795351E-3"/>
          <c:y val="0"/>
        </c:manualLayout>
      </c:layout>
      <c:overlay val="0"/>
      <c:txPr>
        <a:bodyPr/>
        <a:lstStyle/>
        <a:p>
          <a:pPr algn="l">
            <a:defRPr sz="1200"/>
          </a:pPr>
          <a:endParaRPr lang="en-US"/>
        </a:p>
      </c:txPr>
    </c:title>
    <c:autoTitleDeleted val="0"/>
    <c:plotArea>
      <c:layout>
        <c:manualLayout>
          <c:layoutTarget val="inner"/>
          <c:xMode val="edge"/>
          <c:yMode val="edge"/>
          <c:x val="0.1070857392825906"/>
          <c:y val="0.17204704089434308"/>
          <c:w val="0.86235870516185453"/>
          <c:h val="0.65154814836669261"/>
        </c:manualLayout>
      </c:layout>
      <c:barChart>
        <c:barDir val="col"/>
        <c:grouping val="clustered"/>
        <c:varyColors val="0"/>
        <c:ser>
          <c:idx val="2"/>
          <c:order val="2"/>
          <c:tx>
            <c:strRef>
              <c:f>Formulas!$BX$57</c:f>
              <c:strCache>
                <c:ptCount val="1"/>
                <c:pt idx="0">
                  <c:v>Current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Formulas!$BT$58:$BT$61</c:f>
              <c:strCache>
                <c:ptCount val="4"/>
                <c:pt idx="0">
                  <c:v>ES</c:v>
                </c:pt>
                <c:pt idx="1">
                  <c:v>TH</c:v>
                </c:pt>
                <c:pt idx="2">
                  <c:v>RR</c:v>
                </c:pt>
                <c:pt idx="3">
                  <c:v>All Programs</c:v>
                </c:pt>
              </c:strCache>
            </c:strRef>
          </c:cat>
          <c:val>
            <c:numRef>
              <c:f>Formulas!$BX$58:$BX$61</c:f>
              <c:numCache>
                <c:formatCode>#,##0</c:formatCode>
                <c:ptCount val="4"/>
                <c:pt idx="0">
                  <c:v>402</c:v>
                </c:pt>
                <c:pt idx="1">
                  <c:v>256</c:v>
                </c:pt>
                <c:pt idx="2">
                  <c:v>347</c:v>
                </c:pt>
                <c:pt idx="3">
                  <c:v>1005</c:v>
                </c:pt>
              </c:numCache>
            </c:numRef>
          </c:val>
        </c:ser>
        <c:ser>
          <c:idx val="3"/>
          <c:order val="3"/>
          <c:tx>
            <c:strRef>
              <c:f>Formulas!$BY$57</c:f>
              <c:strCache>
                <c:ptCount val="1"/>
                <c:pt idx="0">
                  <c:v>New PH Exits</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Formulas!$BT$58:$BT$61</c:f>
              <c:strCache>
                <c:ptCount val="4"/>
                <c:pt idx="0">
                  <c:v>ES</c:v>
                </c:pt>
                <c:pt idx="1">
                  <c:v>TH</c:v>
                </c:pt>
                <c:pt idx="2">
                  <c:v>RR</c:v>
                </c:pt>
                <c:pt idx="3">
                  <c:v>All Programs</c:v>
                </c:pt>
              </c:strCache>
            </c:strRef>
          </c:cat>
          <c:val>
            <c:numRef>
              <c:f>Formulas!$BY$58:$BY$61</c:f>
              <c:numCache>
                <c:formatCode>#,##0</c:formatCode>
                <c:ptCount val="4"/>
                <c:pt idx="0">
                  <c:v>402</c:v>
                </c:pt>
                <c:pt idx="1">
                  <c:v>256</c:v>
                </c:pt>
                <c:pt idx="2">
                  <c:v>347</c:v>
                </c:pt>
                <c:pt idx="3">
                  <c:v>1005</c:v>
                </c:pt>
              </c:numCache>
            </c:numRef>
          </c:val>
        </c:ser>
        <c:dLbls>
          <c:showLegendKey val="0"/>
          <c:showVal val="1"/>
          <c:showCatName val="0"/>
          <c:showSerName val="0"/>
          <c:showPercent val="0"/>
          <c:showBubbleSize val="0"/>
        </c:dLbls>
        <c:gapWidth val="75"/>
        <c:axId val="607090840"/>
        <c:axId val="607091624"/>
      </c:barChart>
      <c:barChart>
        <c:barDir val="col"/>
        <c:grouping val="clustered"/>
        <c:varyColors val="0"/>
        <c:ser>
          <c:idx val="0"/>
          <c:order val="0"/>
          <c:tx>
            <c:strRef>
              <c:f>Formulas!$BU$57</c:f>
              <c:strCache>
                <c:ptCount val="1"/>
                <c:pt idx="0">
                  <c:v>Current PH Exits</c:v>
                </c:pt>
              </c:strCache>
            </c:strRef>
          </c:tx>
          <c:invertIfNegative val="0"/>
          <c:cat>
            <c:strRef>
              <c:f>Formulas!$BT$58:$BT$61</c:f>
              <c:strCache>
                <c:ptCount val="4"/>
                <c:pt idx="0">
                  <c:v>ES</c:v>
                </c:pt>
                <c:pt idx="1">
                  <c:v>TH</c:v>
                </c:pt>
                <c:pt idx="2">
                  <c:v>RR</c:v>
                </c:pt>
                <c:pt idx="3">
                  <c:v>All Programs</c:v>
                </c:pt>
              </c:strCache>
            </c:strRef>
          </c:cat>
          <c:val>
            <c:numRef>
              <c:f>Formulas!$BU$58:$BU$61</c:f>
              <c:numCache>
                <c:formatCode>#,##0</c:formatCode>
                <c:ptCount val="4"/>
                <c:pt idx="0">
                  <c:v>402</c:v>
                </c:pt>
                <c:pt idx="1">
                  <c:v>256</c:v>
                </c:pt>
                <c:pt idx="2">
                  <c:v>347</c:v>
                </c:pt>
                <c:pt idx="3">
                  <c:v>1005</c:v>
                </c:pt>
              </c:numCache>
            </c:numRef>
          </c:val>
        </c:ser>
        <c:ser>
          <c:idx val="1"/>
          <c:order val="1"/>
          <c:tx>
            <c:strRef>
              <c:f>Formulas!$BV$57</c:f>
              <c:strCache>
                <c:ptCount val="1"/>
                <c:pt idx="0">
                  <c:v>New PH Exits</c:v>
                </c:pt>
              </c:strCache>
            </c:strRef>
          </c:tx>
          <c:invertIfNegative val="0"/>
          <c:dLbls>
            <c:dLbl>
              <c:idx val="0"/>
              <c:tx>
                <c:strRef>
                  <c:f>Formulas!$BW$58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{F2559E30-C1A7-4C08-8D7C-762DC333090A}</c15:txfldGUID>
                      <c15:f>Formulas!$BW$58</c15:f>
                      <c15:dlblFieldTableCache>
                        <c:ptCount val="1"/>
                      </c15:dlblFieldTableCache>
                    </c15:dlblFTEntry>
                  </c15:dlblFieldTable>
                  <c15:showDataLabelsRange val="0"/>
                </c:ext>
              </c:extLst>
            </c:dLbl>
            <c:dLbl>
              <c:idx val="1"/>
              <c:tx>
                <c:strRef>
                  <c:f>Formulas!$BW$59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{539AB6ED-996C-4CCF-BB2A-4C3E24E54801}</c15:txfldGUID>
                      <c15:f>Formulas!$BW$59</c15:f>
                      <c15:dlblFieldTableCache>
                        <c:ptCount val="1"/>
                      </c15:dlblFieldTableCache>
                    </c15:dlblFTEntry>
                  </c15:dlblFieldTable>
                  <c15:showDataLabelsRange val="0"/>
                </c:ext>
              </c:extLst>
            </c:dLbl>
            <c:dLbl>
              <c:idx val="2"/>
              <c:tx>
                <c:strRef>
                  <c:f>Formulas!$BW$60</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{8DC1C788-0412-4A19-B154-285F9062B02C}</c15:txfldGUID>
                      <c15:f>Formulas!$BW$60</c15:f>
                      <c15:dlblFieldTableCache>
                        <c:ptCount val="1"/>
                      </c15:dlblFieldTableCache>
                    </c15:dlblFTEntry>
                  </c15:dlblFieldTable>
                  <c15:showDataLabelsRange val="0"/>
                </c:ext>
              </c:extLst>
            </c:dLbl>
            <c:dLbl>
              <c:idx val="3"/>
              <c:tx>
                <c:strRef>
                  <c:f>Formulas!$BW$61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{F20EC737-1BA2-4D7C-8173-2DBE8C219ADA}</c15:txfldGUID>
                      <c15:f>Formulas!$BW$61</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Formulas!$BT$58:$BT$61</c:f>
              <c:strCache>
                <c:ptCount val="4"/>
                <c:pt idx="0">
                  <c:v>ES</c:v>
                </c:pt>
                <c:pt idx="1">
                  <c:v>TH</c:v>
                </c:pt>
                <c:pt idx="2">
                  <c:v>RR</c:v>
                </c:pt>
                <c:pt idx="3">
                  <c:v>All Programs</c:v>
                </c:pt>
              </c:strCache>
            </c:strRef>
          </c:cat>
          <c:val>
            <c:numRef>
              <c:f>Formulas!$BV$58:$BV$61</c:f>
              <c:numCache>
                <c:formatCode>#,##0</c:formatCode>
                <c:ptCount val="4"/>
                <c:pt idx="0">
                  <c:v>402</c:v>
                </c:pt>
                <c:pt idx="1">
                  <c:v>256</c:v>
                </c:pt>
                <c:pt idx="2">
                  <c:v>347</c:v>
                </c:pt>
                <c:pt idx="3">
                  <c:v>1005</c:v>
                </c:pt>
              </c:numCache>
            </c:numRef>
          </c:val>
        </c:ser>
        <c:dLbls>
          <c:showLegendKey val="0"/>
          <c:showVal val="0"/>
          <c:showCatName val="0"/>
          <c:showSerName val="0"/>
          <c:showPercent val="0"/>
          <c:showBubbleSize val="0"/>
        </c:dLbls>
        <c:gapWidth val="75"/>
        <c:axId val="607088488"/>
        <c:axId val="607085352"/>
      </c:barChart>
      <c:catAx>
        <c:axId val="607090840"/>
        <c:scaling>
          <c:orientation val="minMax"/>
        </c:scaling>
        <c:delete val="0"/>
        <c:axPos val="b"/>
        <c:numFmt formatCode="General" sourceLinked="0"/>
        <c:majorTickMark val="none"/>
        <c:minorTickMark val="none"/>
        <c:tickLblPos val="nextTo"/>
        <c:crossAx val="607091624"/>
        <c:crosses val="autoZero"/>
        <c:auto val="1"/>
        <c:lblAlgn val="ctr"/>
        <c:lblOffset val="100"/>
        <c:noMultiLvlLbl val="0"/>
      </c:catAx>
      <c:valAx>
        <c:axId val="607091624"/>
        <c:scaling>
          <c:orientation val="minMax"/>
        </c:scaling>
        <c:delete val="0"/>
        <c:axPos val="l"/>
        <c:majorGridlines/>
        <c:numFmt formatCode="#,##0" sourceLinked="1"/>
        <c:majorTickMark val="none"/>
        <c:minorTickMark val="none"/>
        <c:tickLblPos val="nextTo"/>
        <c:crossAx val="607090840"/>
        <c:crosses val="autoZero"/>
        <c:crossBetween val="between"/>
      </c:valAx>
      <c:valAx>
        <c:axId val="607085352"/>
        <c:scaling>
          <c:orientation val="minMax"/>
        </c:scaling>
        <c:delete val="1"/>
        <c:axPos val="r"/>
        <c:numFmt formatCode="#,##0" sourceLinked="1"/>
        <c:majorTickMark val="out"/>
        <c:minorTickMark val="none"/>
        <c:tickLblPos val="none"/>
        <c:crossAx val="607088488"/>
        <c:crosses val="max"/>
        <c:crossBetween val="between"/>
      </c:valAx>
      <c:catAx>
        <c:axId val="607088488"/>
        <c:scaling>
          <c:orientation val="minMax"/>
        </c:scaling>
        <c:delete val="1"/>
        <c:axPos val="b"/>
        <c:numFmt formatCode="General" sourceLinked="1"/>
        <c:majorTickMark val="out"/>
        <c:minorTickMark val="none"/>
        <c:tickLblPos val="none"/>
        <c:crossAx val="607085352"/>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6490988626421985"/>
          <c:y val="0.91172529294929883"/>
          <c:w val="0.47018000874890636"/>
          <c:h val="8.3648856413233122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Formulas!$BS$64</c:f>
          <c:strCache>
            <c:ptCount val="1"/>
            <c:pt idx="0">
              <c:v>23C. Change in Average Cost per Permanent Housing Exit
All Households</c:v>
            </c:pt>
          </c:strCache>
        </c:strRef>
      </c:tx>
      <c:layout>
        <c:manualLayout>
          <c:xMode val="edge"/>
          <c:yMode val="edge"/>
          <c:x val="2.1181102362204953E-3"/>
          <c:y val="4.6258506374749955E-3"/>
        </c:manualLayout>
      </c:layout>
      <c:overlay val="0"/>
      <c:txPr>
        <a:bodyPr/>
        <a:lstStyle/>
        <a:p>
          <a:pPr algn="l">
            <a:defRPr sz="1190"/>
          </a:pPr>
          <a:endParaRPr lang="en-US"/>
        </a:p>
      </c:txPr>
    </c:title>
    <c:autoTitleDeleted val="0"/>
    <c:plotArea>
      <c:layout>
        <c:manualLayout>
          <c:layoutTarget val="inner"/>
          <c:xMode val="edge"/>
          <c:yMode val="edge"/>
          <c:x val="0.13525240594925633"/>
          <c:y val="0.1720470408943432"/>
          <c:w val="0.83419203849519596"/>
          <c:h val="0.6463577254073205"/>
        </c:manualLayout>
      </c:layout>
      <c:barChart>
        <c:barDir val="col"/>
        <c:grouping val="clustered"/>
        <c:varyColors val="0"/>
        <c:ser>
          <c:idx val="0"/>
          <c:order val="0"/>
          <c:tx>
            <c:strRef>
              <c:f>Formulas!$BU$63</c:f>
              <c:strCache>
                <c:ptCount val="1"/>
                <c:pt idx="0">
                  <c:v>Current $/PH Exit</c:v>
                </c:pt>
              </c:strCache>
            </c:strRef>
          </c:tx>
          <c:invertIfNegative val="0"/>
          <c:dLbls>
            <c:delete val="1"/>
          </c:dLbls>
          <c:cat>
            <c:strRef>
              <c:f>Formulas!$BT$64:$BT$67</c:f>
              <c:strCache>
                <c:ptCount val="4"/>
                <c:pt idx="0">
                  <c:v>ES</c:v>
                </c:pt>
                <c:pt idx="1">
                  <c:v>TH</c:v>
                </c:pt>
                <c:pt idx="2">
                  <c:v>RR</c:v>
                </c:pt>
                <c:pt idx="3">
                  <c:v>All Programs</c:v>
                </c:pt>
              </c:strCache>
            </c:strRef>
          </c:cat>
          <c:val>
            <c:numRef>
              <c:f>Formulas!$BU$64:$BU$67</c:f>
              <c:numCache>
                <c:formatCode>"$"#,##0</c:formatCode>
                <c:ptCount val="4"/>
                <c:pt idx="0">
                  <c:v>7960</c:v>
                </c:pt>
                <c:pt idx="1">
                  <c:v>18750</c:v>
                </c:pt>
                <c:pt idx="2">
                  <c:v>4308</c:v>
                </c:pt>
                <c:pt idx="3">
                  <c:v>10339</c:v>
                </c:pt>
              </c:numCache>
            </c:numRef>
          </c:val>
        </c:ser>
        <c:ser>
          <c:idx val="1"/>
          <c:order val="1"/>
          <c:tx>
            <c:strRef>
              <c:f>Formulas!$BV$63</c:f>
              <c:strCache>
                <c:ptCount val="1"/>
                <c:pt idx="0">
                  <c:v>New $/PH Exit</c:v>
                </c:pt>
              </c:strCache>
            </c:strRef>
          </c:tx>
          <c:invertIfNegative val="0"/>
          <c:dLbls>
            <c:dLbl>
              <c:idx val="0"/>
              <c:tx>
                <c:strRef>
                  <c:f>Formulas!$BW$64</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{61E575E3-99E4-47BF-81AB-91D00E6CE00F}</c15:txfldGUID>
                      <c15:f>Formulas!$BW$64</c15:f>
                      <c15:dlblFieldTableCache>
                        <c:ptCount val="1"/>
                      </c15:dlblFieldTableCache>
                    </c15:dlblFTEntry>
                  </c15:dlblFieldTable>
                  <c15:showDataLabelsRange val="0"/>
                </c:ext>
              </c:extLst>
            </c:dLbl>
            <c:dLbl>
              <c:idx val="1"/>
              <c:tx>
                <c:strRef>
                  <c:f>Formulas!$BW$65</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{1E266AA8-9F67-4E52-8255-C60D2EBCE8A6}</c15:txfldGUID>
                      <c15:f>Formulas!$BW$65</c15:f>
                      <c15:dlblFieldTableCache>
                        <c:ptCount val="1"/>
                      </c15:dlblFieldTableCache>
                    </c15:dlblFTEntry>
                  </c15:dlblFieldTable>
                  <c15:showDataLabelsRange val="0"/>
                </c:ext>
              </c:extLst>
            </c:dLbl>
            <c:dLbl>
              <c:idx val="2"/>
              <c:tx>
                <c:strRef>
                  <c:f>Formulas!$BW$66</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{5D627D3D-2099-4480-9C0A-A35FAC9B8EB7}</c15:txfldGUID>
                      <c15:f>Formulas!$BW$66</c15:f>
                      <c15:dlblFieldTableCache>
                        <c:ptCount val="1"/>
                      </c15:dlblFieldTableCache>
                    </c15:dlblFTEntry>
                  </c15:dlblFieldTable>
                  <c15:showDataLabelsRange val="0"/>
                </c:ext>
              </c:extLst>
            </c:dLbl>
            <c:dLbl>
              <c:idx val="3"/>
              <c:tx>
                <c:strRef>
                  <c:f>Formulas!$BW$67</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{2B976F7A-4405-4A95-B26F-14A7813D53E8}</c15:txfldGUID>
                      <c15:f>Formulas!$BW$67</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Formulas!$BT$64:$BT$67</c:f>
              <c:strCache>
                <c:ptCount val="4"/>
                <c:pt idx="0">
                  <c:v>ES</c:v>
                </c:pt>
                <c:pt idx="1">
                  <c:v>TH</c:v>
                </c:pt>
                <c:pt idx="2">
                  <c:v>RR</c:v>
                </c:pt>
                <c:pt idx="3">
                  <c:v>All Programs</c:v>
                </c:pt>
              </c:strCache>
            </c:strRef>
          </c:cat>
          <c:val>
            <c:numRef>
              <c:f>Formulas!$BV$64:$BV$67</c:f>
              <c:numCache>
                <c:formatCode>"$"#,##0</c:formatCode>
                <c:ptCount val="4"/>
                <c:pt idx="0">
                  <c:v>7960</c:v>
                </c:pt>
                <c:pt idx="1">
                  <c:v>18750</c:v>
                </c:pt>
                <c:pt idx="2">
                  <c:v>4308</c:v>
                </c:pt>
                <c:pt idx="3">
                  <c:v>10339</c:v>
                </c:pt>
              </c:numCache>
            </c:numRef>
          </c:val>
        </c:ser>
        <c:dLbls>
          <c:showLegendKey val="0"/>
          <c:showVal val="1"/>
          <c:showCatName val="0"/>
          <c:showSerName val="0"/>
          <c:showPercent val="0"/>
          <c:showBubbleSize val="0"/>
        </c:dLbls>
        <c:gapWidth val="75"/>
        <c:axId val="607086920"/>
        <c:axId val="607083784"/>
      </c:barChart>
      <c:barChart>
        <c:barDir val="col"/>
        <c:grouping val="clustered"/>
        <c:varyColors val="0"/>
        <c:ser>
          <c:idx val="2"/>
          <c:order val="2"/>
          <c:tx>
            <c:strRef>
              <c:f>Formulas!$BX$63</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Formulas!$BT$64:$BT$67</c:f>
              <c:strCache>
                <c:ptCount val="4"/>
                <c:pt idx="0">
                  <c:v>ES</c:v>
                </c:pt>
                <c:pt idx="1">
                  <c:v>TH</c:v>
                </c:pt>
                <c:pt idx="2">
                  <c:v>RR</c:v>
                </c:pt>
                <c:pt idx="3">
                  <c:v>All Programs</c:v>
                </c:pt>
              </c:strCache>
            </c:strRef>
          </c:cat>
          <c:val>
            <c:numRef>
              <c:f>Formulas!$BX$64:$BX$67</c:f>
              <c:numCache>
                <c:formatCode>"$"#,##0</c:formatCode>
                <c:ptCount val="4"/>
                <c:pt idx="0">
                  <c:v>7960</c:v>
                </c:pt>
                <c:pt idx="1">
                  <c:v>18750</c:v>
                </c:pt>
                <c:pt idx="2">
                  <c:v>4308</c:v>
                </c:pt>
                <c:pt idx="3">
                  <c:v>10339</c:v>
                </c:pt>
              </c:numCache>
            </c:numRef>
          </c:val>
        </c:ser>
        <c:ser>
          <c:idx val="3"/>
          <c:order val="3"/>
          <c:tx>
            <c:strRef>
              <c:f>Formulas!$BY$63</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Formulas!$BT$64:$BT$67</c:f>
              <c:strCache>
                <c:ptCount val="4"/>
                <c:pt idx="0">
                  <c:v>ES</c:v>
                </c:pt>
                <c:pt idx="1">
                  <c:v>TH</c:v>
                </c:pt>
                <c:pt idx="2">
                  <c:v>RR</c:v>
                </c:pt>
                <c:pt idx="3">
                  <c:v>All Programs</c:v>
                </c:pt>
              </c:strCache>
            </c:strRef>
          </c:cat>
          <c:val>
            <c:numRef>
              <c:f>Formulas!$BY$64:$BY$67</c:f>
              <c:numCache>
                <c:formatCode>"$"#,##0</c:formatCode>
                <c:ptCount val="4"/>
                <c:pt idx="0">
                  <c:v>7960</c:v>
                </c:pt>
                <c:pt idx="1">
                  <c:v>18750</c:v>
                </c:pt>
                <c:pt idx="2">
                  <c:v>4308</c:v>
                </c:pt>
                <c:pt idx="3">
                  <c:v>10339</c:v>
                </c:pt>
              </c:numCache>
            </c:numRef>
          </c:val>
        </c:ser>
        <c:dLbls>
          <c:showLegendKey val="0"/>
          <c:showVal val="0"/>
          <c:showCatName val="0"/>
          <c:showSerName val="0"/>
          <c:showPercent val="0"/>
          <c:showBubbleSize val="0"/>
        </c:dLbls>
        <c:gapWidth val="75"/>
        <c:axId val="607079080"/>
        <c:axId val="607077120"/>
      </c:barChart>
      <c:catAx>
        <c:axId val="607086920"/>
        <c:scaling>
          <c:orientation val="minMax"/>
        </c:scaling>
        <c:delete val="0"/>
        <c:axPos val="b"/>
        <c:numFmt formatCode="General" sourceLinked="0"/>
        <c:majorTickMark val="none"/>
        <c:minorTickMark val="none"/>
        <c:tickLblPos val="nextTo"/>
        <c:crossAx val="607083784"/>
        <c:crosses val="autoZero"/>
        <c:auto val="1"/>
        <c:lblAlgn val="ctr"/>
        <c:lblOffset val="100"/>
        <c:noMultiLvlLbl val="0"/>
      </c:catAx>
      <c:valAx>
        <c:axId val="607083784"/>
        <c:scaling>
          <c:orientation val="minMax"/>
        </c:scaling>
        <c:delete val="0"/>
        <c:axPos val="l"/>
        <c:majorGridlines/>
        <c:numFmt formatCode="&quot;$&quot;#,##0" sourceLinked="1"/>
        <c:majorTickMark val="none"/>
        <c:minorTickMark val="none"/>
        <c:tickLblPos val="nextTo"/>
        <c:crossAx val="607086920"/>
        <c:crosses val="autoZero"/>
        <c:crossBetween val="between"/>
      </c:valAx>
      <c:valAx>
        <c:axId val="607077120"/>
        <c:scaling>
          <c:orientation val="minMax"/>
        </c:scaling>
        <c:delete val="1"/>
        <c:axPos val="r"/>
        <c:numFmt formatCode="&quot;$&quot;#,##0" sourceLinked="1"/>
        <c:majorTickMark val="out"/>
        <c:minorTickMark val="none"/>
        <c:tickLblPos val="none"/>
        <c:crossAx val="607079080"/>
        <c:crosses val="max"/>
        <c:crossBetween val="between"/>
      </c:valAx>
      <c:catAx>
        <c:axId val="607079080"/>
        <c:scaling>
          <c:orientation val="minMax"/>
        </c:scaling>
        <c:delete val="1"/>
        <c:axPos val="b"/>
        <c:numFmt formatCode="General" sourceLinked="1"/>
        <c:majorTickMark val="out"/>
        <c:minorTickMark val="none"/>
        <c:tickLblPos val="none"/>
        <c:crossAx val="607077120"/>
        <c:crosses val="autoZero"/>
        <c:auto val="1"/>
        <c:lblAlgn val="ctr"/>
        <c:lblOffset val="100"/>
        <c:noMultiLvlLbl val="0"/>
      </c:catAx>
      <c:spPr>
        <a:solidFill>
          <a:sysClr val="window" lastClr="FFFFFF">
            <a:lumMod val="95000"/>
            <a:alpha val="25000"/>
          </a:sysClr>
        </a:solidFill>
      </c:spPr>
    </c:plotArea>
    <c:legend>
      <c:legendPos val="b"/>
      <c:legendEntry>
        <c:idx val="0"/>
        <c:delete val="1"/>
      </c:legendEntry>
      <c:legendEntry>
        <c:idx val="1"/>
        <c:delete val="1"/>
      </c:legendEntry>
      <c:layout>
        <c:manualLayout>
          <c:xMode val="edge"/>
          <c:yMode val="edge"/>
          <c:x val="0.25935433070866148"/>
          <c:y val="0.90247359167434249"/>
          <c:w val="0.47018000874890636"/>
          <c:h val="8.3648856413233177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Formulas!$BS$48</c:f>
          <c:strCache>
            <c:ptCount val="1"/>
            <c:pt idx="0">
              <c:v>23B. Change in Average Cost per Permanent Housing Exit
Family Households</c:v>
            </c:pt>
          </c:strCache>
        </c:strRef>
      </c:tx>
      <c:layout>
        <c:manualLayout>
          <c:xMode val="edge"/>
          <c:yMode val="edge"/>
          <c:x val="1.4444444444444433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46445033785088"/>
          <c:w val="0.83419203849519596"/>
          <c:h val="0.60949916607204468"/>
        </c:manualLayout>
      </c:layout>
      <c:barChart>
        <c:barDir val="col"/>
        <c:grouping val="clustered"/>
        <c:varyColors val="0"/>
        <c:ser>
          <c:idx val="0"/>
          <c:order val="0"/>
          <c:tx>
            <c:strRef>
              <c:f>Formulas!$BU$47</c:f>
              <c:strCache>
                <c:ptCount val="1"/>
                <c:pt idx="0">
                  <c:v>Current $/PH Exit</c:v>
                </c:pt>
              </c:strCache>
            </c:strRef>
          </c:tx>
          <c:invertIfNegative val="0"/>
          <c:dLbls>
            <c:delete val="1"/>
          </c:dLbls>
          <c:cat>
            <c:strRef>
              <c:f>Formulas!$BT$48:$BT$51</c:f>
              <c:strCache>
                <c:ptCount val="4"/>
                <c:pt idx="0">
                  <c:v>ES</c:v>
                </c:pt>
                <c:pt idx="1">
                  <c:v>TH</c:v>
                </c:pt>
                <c:pt idx="2">
                  <c:v>RR</c:v>
                </c:pt>
                <c:pt idx="3">
                  <c:v>All Programs</c:v>
                </c:pt>
              </c:strCache>
            </c:strRef>
          </c:cat>
          <c:val>
            <c:numRef>
              <c:f>Formulas!$BU$48:$BU$51</c:f>
              <c:numCache>
                <c:formatCode>"$"#,##0</c:formatCode>
                <c:ptCount val="4"/>
                <c:pt idx="0">
                  <c:v>8759</c:v>
                </c:pt>
                <c:pt idx="1">
                  <c:v>18987</c:v>
                </c:pt>
                <c:pt idx="2">
                  <c:v>3617</c:v>
                </c:pt>
                <c:pt idx="3">
                  <c:v>10454.333333333334</c:v>
                </c:pt>
              </c:numCache>
            </c:numRef>
          </c:val>
        </c:ser>
        <c:ser>
          <c:idx val="1"/>
          <c:order val="1"/>
          <c:tx>
            <c:strRef>
              <c:f>Formulas!$BV$47</c:f>
              <c:strCache>
                <c:ptCount val="1"/>
                <c:pt idx="0">
                  <c:v>New $/PH Exit</c:v>
                </c:pt>
              </c:strCache>
            </c:strRef>
          </c:tx>
          <c:invertIfNegative val="0"/>
          <c:dLbls>
            <c:dLbl>
              <c:idx val="0"/>
              <c:tx>
                <c:strRef>
                  <c:f>Formulas!$BW$48</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{9EEE7710-C9EA-440A-9BA1-A06650C33807}</c15:txfldGUID>
                      <c15:f>Formulas!$BW$48</c15:f>
                      <c15:dlblFieldTableCache>
                        <c:ptCount val="1"/>
                      </c15:dlblFieldTableCache>
                    </c15:dlblFTEntry>
                  </c15:dlblFieldTable>
                  <c15:showDataLabelsRange val="0"/>
                </c:ext>
              </c:extLst>
            </c:dLbl>
            <c:dLbl>
              <c:idx val="1"/>
              <c:tx>
                <c:strRef>
                  <c:f>Formulas!$BW$49</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{D581F6CF-17A9-4F7D-A57E-ECB716DE3744}</c15:txfldGUID>
                      <c15:f>Formulas!$BW$49</c15:f>
                      <c15:dlblFieldTableCache>
                        <c:ptCount val="1"/>
                      </c15:dlblFieldTableCache>
                    </c15:dlblFTEntry>
                  </c15:dlblFieldTable>
                  <c15:showDataLabelsRange val="0"/>
                </c:ext>
              </c:extLst>
            </c:dLbl>
            <c:dLbl>
              <c:idx val="2"/>
              <c:tx>
                <c:strRef>
                  <c:f>Formulas!$BW$50</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{A2387B5C-DCEA-410C-A516-D36B7FCBABAF}</c15:txfldGUID>
                      <c15:f>Formulas!$BW$50</c15:f>
                      <c15:dlblFieldTableCache>
                        <c:ptCount val="1"/>
                      </c15:dlblFieldTableCache>
                    </c15:dlblFTEntry>
                  </c15:dlblFieldTable>
                  <c15:showDataLabelsRange val="0"/>
                </c:ext>
              </c:extLst>
            </c:dLbl>
            <c:dLbl>
              <c:idx val="3"/>
              <c:tx>
                <c:strRef>
                  <c:f>Formulas!$BW$51</c:f>
                  <c:strCache>
                    <c:ptCount val="1"/>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{63AFC88A-6505-417C-8A97-AD3AC2A0FEE5}</c15:txfldGUID>
                      <c15:f>Formulas!$BW$51</c15:f>
                      <c15:dlblFieldTableCache>
                        <c:ptCount val="1"/>
                      </c15:dlblFieldTableCache>
                    </c15:dlblFTEntry>
                  </c15:dlblFieldTable>
                  <c15:showDataLabelsRange val="0"/>
                </c:ext>
              </c:extLst>
            </c:dLbl>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Formulas!$BT$48:$BT$51</c:f>
              <c:strCache>
                <c:ptCount val="4"/>
                <c:pt idx="0">
                  <c:v>ES</c:v>
                </c:pt>
                <c:pt idx="1">
                  <c:v>TH</c:v>
                </c:pt>
                <c:pt idx="2">
                  <c:v>RR</c:v>
                </c:pt>
                <c:pt idx="3">
                  <c:v>All Programs</c:v>
                </c:pt>
              </c:strCache>
            </c:strRef>
          </c:cat>
          <c:val>
            <c:numRef>
              <c:f>Formulas!$BV$48:$BV$51</c:f>
              <c:numCache>
                <c:formatCode>"$"#,##0</c:formatCode>
                <c:ptCount val="4"/>
                <c:pt idx="0">
                  <c:v>8759</c:v>
                </c:pt>
                <c:pt idx="1">
                  <c:v>18987</c:v>
                </c:pt>
                <c:pt idx="2">
                  <c:v>3617</c:v>
                </c:pt>
                <c:pt idx="3">
                  <c:v>10454.333333333334</c:v>
                </c:pt>
              </c:numCache>
            </c:numRef>
          </c:val>
        </c:ser>
        <c:dLbls>
          <c:showLegendKey val="0"/>
          <c:showVal val="1"/>
          <c:showCatName val="0"/>
          <c:showSerName val="0"/>
          <c:showPercent val="0"/>
          <c:showBubbleSize val="0"/>
        </c:dLbls>
        <c:gapWidth val="75"/>
        <c:axId val="607083000"/>
        <c:axId val="607078688"/>
      </c:barChart>
      <c:barChart>
        <c:barDir val="col"/>
        <c:grouping val="clustered"/>
        <c:varyColors val="0"/>
        <c:ser>
          <c:idx val="2"/>
          <c:order val="2"/>
          <c:tx>
            <c:strRef>
              <c:f>Formulas!$BX$47</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Formulas!$BT$48:$BT$51</c:f>
              <c:strCache>
                <c:ptCount val="4"/>
                <c:pt idx="0">
                  <c:v>ES</c:v>
                </c:pt>
                <c:pt idx="1">
                  <c:v>TH</c:v>
                </c:pt>
                <c:pt idx="2">
                  <c:v>RR</c:v>
                </c:pt>
                <c:pt idx="3">
                  <c:v>All Programs</c:v>
                </c:pt>
              </c:strCache>
            </c:strRef>
          </c:cat>
          <c:val>
            <c:numRef>
              <c:f>Formulas!$BX$48:$BX$51</c:f>
              <c:numCache>
                <c:formatCode>"$"#,##0</c:formatCode>
                <c:ptCount val="4"/>
                <c:pt idx="0">
                  <c:v>8759</c:v>
                </c:pt>
                <c:pt idx="1">
                  <c:v>18987</c:v>
                </c:pt>
                <c:pt idx="2">
                  <c:v>3617</c:v>
                </c:pt>
                <c:pt idx="3">
                  <c:v>10454.333333333334</c:v>
                </c:pt>
              </c:numCache>
            </c:numRef>
          </c:val>
        </c:ser>
        <c:ser>
          <c:idx val="3"/>
          <c:order val="3"/>
          <c:tx>
            <c:strRef>
              <c:f>Formulas!$BY$47</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Formulas!$BT$48:$BT$51</c:f>
              <c:strCache>
                <c:ptCount val="4"/>
                <c:pt idx="0">
                  <c:v>ES</c:v>
                </c:pt>
                <c:pt idx="1">
                  <c:v>TH</c:v>
                </c:pt>
                <c:pt idx="2">
                  <c:v>RR</c:v>
                </c:pt>
                <c:pt idx="3">
                  <c:v>All Programs</c:v>
                </c:pt>
              </c:strCache>
            </c:strRef>
          </c:cat>
          <c:val>
            <c:numRef>
              <c:f>Formulas!$BY$48:$BY$51</c:f>
              <c:numCache>
                <c:formatCode>"$"#,##0</c:formatCode>
                <c:ptCount val="4"/>
                <c:pt idx="0">
                  <c:v>8759</c:v>
                </c:pt>
                <c:pt idx="1">
                  <c:v>18987</c:v>
                </c:pt>
                <c:pt idx="2">
                  <c:v>3617</c:v>
                </c:pt>
                <c:pt idx="3">
                  <c:v>10454.333333333334</c:v>
                </c:pt>
              </c:numCache>
            </c:numRef>
          </c:val>
        </c:ser>
        <c:dLbls>
          <c:showLegendKey val="0"/>
          <c:showVal val="0"/>
          <c:showCatName val="0"/>
          <c:showSerName val="0"/>
          <c:showPercent val="0"/>
          <c:showBubbleSize val="0"/>
        </c:dLbls>
        <c:gapWidth val="75"/>
        <c:axId val="607084960"/>
        <c:axId val="607079864"/>
      </c:barChart>
      <c:catAx>
        <c:axId val="607083000"/>
        <c:scaling>
          <c:orientation val="minMax"/>
        </c:scaling>
        <c:delete val="0"/>
        <c:axPos val="b"/>
        <c:numFmt formatCode="General" sourceLinked="0"/>
        <c:majorTickMark val="none"/>
        <c:minorTickMark val="none"/>
        <c:tickLblPos val="nextTo"/>
        <c:crossAx val="607078688"/>
        <c:crosses val="autoZero"/>
        <c:auto val="1"/>
        <c:lblAlgn val="ctr"/>
        <c:lblOffset val="100"/>
        <c:noMultiLvlLbl val="0"/>
      </c:catAx>
      <c:valAx>
        <c:axId val="607078688"/>
        <c:scaling>
          <c:orientation val="minMax"/>
        </c:scaling>
        <c:delete val="0"/>
        <c:axPos val="l"/>
        <c:majorGridlines/>
        <c:numFmt formatCode="&quot;$&quot;#,##0" sourceLinked="1"/>
        <c:majorTickMark val="none"/>
        <c:minorTickMark val="none"/>
        <c:tickLblPos val="nextTo"/>
        <c:crossAx val="607083000"/>
        <c:crosses val="autoZero"/>
        <c:crossBetween val="between"/>
      </c:valAx>
      <c:valAx>
        <c:axId val="607079864"/>
        <c:scaling>
          <c:orientation val="minMax"/>
        </c:scaling>
        <c:delete val="1"/>
        <c:axPos val="r"/>
        <c:numFmt formatCode="&quot;$&quot;#,##0" sourceLinked="1"/>
        <c:majorTickMark val="out"/>
        <c:minorTickMark val="none"/>
        <c:tickLblPos val="none"/>
        <c:crossAx val="607084960"/>
        <c:crosses val="max"/>
        <c:crossBetween val="between"/>
      </c:valAx>
      <c:catAx>
        <c:axId val="607084960"/>
        <c:scaling>
          <c:orientation val="minMax"/>
        </c:scaling>
        <c:delete val="1"/>
        <c:axPos val="b"/>
        <c:numFmt formatCode="General" sourceLinked="1"/>
        <c:majorTickMark val="out"/>
        <c:minorTickMark val="none"/>
        <c:tickLblPos val="none"/>
        <c:crossAx val="607079864"/>
        <c:crosses val="autoZero"/>
        <c:auto val="1"/>
        <c:lblAlgn val="ctr"/>
        <c:lblOffset val="100"/>
        <c:noMultiLvlLbl val="0"/>
      </c:catAx>
      <c:spPr>
        <a:solidFill>
          <a:srgbClr val="FFFF99">
            <a:alpha val="25000"/>
          </a:srgbClr>
        </a:solidFill>
      </c:spPr>
    </c:plotArea>
    <c:legend>
      <c:legendPos val="b"/>
      <c:legendEntry>
        <c:idx val="0"/>
        <c:delete val="1"/>
      </c:legendEntry>
      <c:legendEntry>
        <c:idx val="1"/>
        <c:delete val="1"/>
      </c:legendEntry>
      <c:layout>
        <c:manualLayout>
          <c:xMode val="edge"/>
          <c:yMode val="edge"/>
          <c:x val="0.26490988626421996"/>
          <c:y val="0.89784774103686749"/>
          <c:w val="0.47018000874890636"/>
          <c:h val="8.3648856413233177E-2"/>
        </c:manualLayout>
      </c:layout>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Formulas!$BS$32</c:f>
          <c:strCache>
            <c:ptCount val="1"/>
            <c:pt idx="0">
              <c:v>23A. Change in Average Cost per Permanent Housing Exit
Single Adults</c:v>
            </c:pt>
          </c:strCache>
        </c:strRef>
      </c:tx>
      <c:layout>
        <c:manualLayout>
          <c:xMode val="edge"/>
          <c:yMode val="edge"/>
          <c:x val="1.1945352485758236E-3"/>
          <c:y val="0"/>
        </c:manualLayout>
      </c:layout>
      <c:overlay val="0"/>
      <c:txPr>
        <a:bodyPr/>
        <a:lstStyle/>
        <a:p>
          <a:pPr algn="l">
            <a:defRPr sz="1200"/>
          </a:pPr>
          <a:endParaRPr lang="en-US"/>
        </a:p>
      </c:txPr>
    </c:title>
    <c:autoTitleDeleted val="0"/>
    <c:plotArea>
      <c:layout>
        <c:manualLayout>
          <c:layoutTarget val="inner"/>
          <c:xMode val="edge"/>
          <c:yMode val="edge"/>
          <c:x val="0.13525240594925633"/>
          <c:y val="0.19517629408171583"/>
          <c:w val="0.83419203849519596"/>
          <c:h val="0.63209662855621374"/>
        </c:manualLayout>
      </c:layout>
      <c:barChart>
        <c:barDir val="col"/>
        <c:grouping val="clustered"/>
        <c:varyColors val="0"/>
        <c:ser>
          <c:idx val="0"/>
          <c:order val="0"/>
          <c:tx>
            <c:strRef>
              <c:f>Formulas!$BU$31</c:f>
              <c:strCache>
                <c:ptCount val="1"/>
                <c:pt idx="0">
                  <c:v>Current $/PH Exit</c:v>
                </c:pt>
              </c:strCache>
            </c:strRef>
          </c:tx>
          <c:invertIfNegative val="0"/>
          <c:dLbls>
            <c:delete val="1"/>
          </c:dLbls>
          <c:cat>
            <c:strRef>
              <c:f>Formulas!$BT$32:$BT$35</c:f>
              <c:strCache>
                <c:ptCount val="4"/>
                <c:pt idx="0">
                  <c:v>ES</c:v>
                </c:pt>
                <c:pt idx="1">
                  <c:v>TH</c:v>
                </c:pt>
                <c:pt idx="2">
                  <c:v>RR</c:v>
                </c:pt>
                <c:pt idx="3">
                  <c:v>All Programs</c:v>
                </c:pt>
              </c:strCache>
            </c:strRef>
          </c:cat>
          <c:val>
            <c:numRef>
              <c:f>Formulas!$BU$32:$BU$35</c:f>
              <c:numCache>
                <c:formatCode>"$"#,##0</c:formatCode>
                <c:ptCount val="4"/>
                <c:pt idx="0">
                  <c:v>7547</c:v>
                </c:pt>
                <c:pt idx="1">
                  <c:v>18367</c:v>
                </c:pt>
                <c:pt idx="2">
                  <c:v>5758</c:v>
                </c:pt>
                <c:pt idx="3">
                  <c:v>10557</c:v>
                </c:pt>
              </c:numCache>
            </c:numRef>
          </c:val>
        </c:ser>
        <c:ser>
          <c:idx val="1"/>
          <c:order val="1"/>
          <c:tx>
            <c:strRef>
              <c:f>Formulas!$BV$31</c:f>
              <c:strCache>
                <c:ptCount val="1"/>
                <c:pt idx="0">
                  <c:v>New $/PH Exit</c:v>
                </c:pt>
              </c:strCache>
            </c:strRef>
          </c:tx>
          <c:invertIfNegative val="0"/>
          <c:dLbls>
            <c:dLbl>
              <c:idx val="0"/>
              <c:layout>
                <c:manualLayout>
                  <c:x val="-5.5555555555555558E-3"/>
                  <c:y val="0"/>
                </c:manualLayout>
              </c:layout>
              <c:tx>
                <c:strRef>
                  <c:f>Formulas!$BW$32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{954E4CE5-7ED7-4F9D-B1D9-2377C135F12A}</c15:txfldGUID>
                      <c15:f>Formulas!$BW$32</c15:f>
                      <c15:dlblFieldTableCache>
                        <c:ptCount val="1"/>
                      </c15:dlblFieldTableCache>
                    </c15:dlblFTEntry>
                  </c15:dlblFieldTable>
                  <c15:showDataLabelsRange val="0"/>
                </c:ext>
              </c:extLst>
            </c:dLbl>
            <c:dLbl>
              <c:idx val="1"/>
              <c:tx>
                <c:strRef>
                  <c:f>Formulas!$BW$33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{87335CDF-7C53-4AB8-9C50-65AF040C37DC}</c15:txfldGUID>
                      <c15:f>Formulas!$BW$33</c15:f>
                      <c15:dlblFieldTableCache>
                        <c:ptCount val="1"/>
                      </c15:dlblFieldTableCache>
                    </c15:dlblFTEntry>
                  </c15:dlblFieldTable>
                  <c15:showDataLabelsRange val="0"/>
                </c:ext>
              </c:extLst>
            </c:dLbl>
            <c:dLbl>
              <c:idx val="2"/>
              <c:tx>
                <c:strRef>
                  <c:f>Formulas!$BW$34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{77C1D2B2-9D2C-4DB0-B05D-84F96B89BB5D}</c15:txfldGUID>
                      <c15:f>Formulas!$BW$34</c15:f>
                      <c15:dlblFieldTableCache>
                        <c:ptCount val="1"/>
                      </c15:dlblFieldTableCache>
                    </c15:dlblFTEntry>
                  </c15:dlblFieldTable>
                  <c15:showDataLabelsRange val="0"/>
                </c:ext>
              </c:extLst>
            </c:dLbl>
            <c:dLbl>
              <c:idx val="3"/>
              <c:tx>
                <c:strRef>
                  <c:f>Formulas!$BW$35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{EB6D87C7-CA11-4C7C-A302-EFCB023F0C70}</c15:txfldGUID>
                      <c15:f>Formulas!$BW$35</c15:f>
                      <c15:dlblFieldTableCache>
                        <c:ptCount val="1"/>
                      </c15:dlblFieldTableCache>
                    </c15:dlblFTEntry>
                  </c15:dlblFieldTable>
                  <c15:showDataLabelsRange val="0"/>
                </c:ext>
              </c:extLst>
            </c:dLbl>
            <c:spPr>
              <a:noFill/>
              <a:ln>
                <a:noFill/>
              </a:ln>
              <a:effectLst/>
            </c:spPr>
            <c:txPr>
              <a:bodyPr/>
              <a:lstStyle/>
              <a:p>
                <a:pPr>
                  <a:defRPr sz="11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Formulas!$BT$32:$BT$35</c:f>
              <c:strCache>
                <c:ptCount val="4"/>
                <c:pt idx="0">
                  <c:v>ES</c:v>
                </c:pt>
                <c:pt idx="1">
                  <c:v>TH</c:v>
                </c:pt>
                <c:pt idx="2">
                  <c:v>RR</c:v>
                </c:pt>
                <c:pt idx="3">
                  <c:v>All Programs</c:v>
                </c:pt>
              </c:strCache>
            </c:strRef>
          </c:cat>
          <c:val>
            <c:numRef>
              <c:f>Formulas!$BV$32:$BV$35</c:f>
              <c:numCache>
                <c:formatCode>"$"#,##0</c:formatCode>
                <c:ptCount val="4"/>
                <c:pt idx="0">
                  <c:v>7547</c:v>
                </c:pt>
                <c:pt idx="1">
                  <c:v>18367</c:v>
                </c:pt>
                <c:pt idx="2">
                  <c:v>5758</c:v>
                </c:pt>
                <c:pt idx="3">
                  <c:v>10557</c:v>
                </c:pt>
              </c:numCache>
            </c:numRef>
          </c:val>
        </c:ser>
        <c:dLbls>
          <c:showLegendKey val="0"/>
          <c:showVal val="1"/>
          <c:showCatName val="0"/>
          <c:showSerName val="0"/>
          <c:showPercent val="0"/>
          <c:showBubbleSize val="0"/>
        </c:dLbls>
        <c:gapWidth val="75"/>
        <c:axId val="607086136"/>
        <c:axId val="607082608"/>
      </c:barChart>
      <c:barChart>
        <c:barDir val="col"/>
        <c:grouping val="clustered"/>
        <c:varyColors val="0"/>
        <c:ser>
          <c:idx val="2"/>
          <c:order val="2"/>
          <c:tx>
            <c:strRef>
              <c:f>Formulas!$BX$31</c:f>
              <c:strCache>
                <c:ptCount val="1"/>
                <c:pt idx="0">
                  <c:v>Current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Formulas!$BT$32:$BT$35</c:f>
              <c:strCache>
                <c:ptCount val="4"/>
                <c:pt idx="0">
                  <c:v>ES</c:v>
                </c:pt>
                <c:pt idx="1">
                  <c:v>TH</c:v>
                </c:pt>
                <c:pt idx="2">
                  <c:v>RR</c:v>
                </c:pt>
                <c:pt idx="3">
                  <c:v>All Programs</c:v>
                </c:pt>
              </c:strCache>
            </c:strRef>
          </c:cat>
          <c:val>
            <c:numRef>
              <c:f>Formulas!$BX$32:$BX$35</c:f>
              <c:numCache>
                <c:formatCode>"$"#,##0</c:formatCode>
                <c:ptCount val="4"/>
                <c:pt idx="0">
                  <c:v>7547</c:v>
                </c:pt>
                <c:pt idx="1">
                  <c:v>18367</c:v>
                </c:pt>
                <c:pt idx="2">
                  <c:v>5758</c:v>
                </c:pt>
                <c:pt idx="3">
                  <c:v>10557</c:v>
                </c:pt>
              </c:numCache>
            </c:numRef>
          </c:val>
        </c:ser>
        <c:ser>
          <c:idx val="3"/>
          <c:order val="3"/>
          <c:tx>
            <c:strRef>
              <c:f>Formulas!$BY$31</c:f>
              <c:strCache>
                <c:ptCount val="1"/>
                <c:pt idx="0">
                  <c:v>New PH Exits</c:v>
                </c:pt>
              </c:strCache>
            </c:strRef>
          </c:tx>
          <c:invertIfNegative val="0"/>
          <c:dLbls>
            <c:numFmt formatCode="[&gt;999]&quot;$&quot;#.#,&quot;K&quot;;;;"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Formulas!$BT$32:$BT$35</c:f>
              <c:strCache>
                <c:ptCount val="4"/>
                <c:pt idx="0">
                  <c:v>ES</c:v>
                </c:pt>
                <c:pt idx="1">
                  <c:v>TH</c:v>
                </c:pt>
                <c:pt idx="2">
                  <c:v>RR</c:v>
                </c:pt>
                <c:pt idx="3">
                  <c:v>All Programs</c:v>
                </c:pt>
              </c:strCache>
            </c:strRef>
          </c:cat>
          <c:val>
            <c:numRef>
              <c:f>Formulas!$BY$32:$BY$35</c:f>
              <c:numCache>
                <c:formatCode>"$"#,##0</c:formatCode>
                <c:ptCount val="4"/>
                <c:pt idx="0">
                  <c:v>7547</c:v>
                </c:pt>
                <c:pt idx="1">
                  <c:v>18367</c:v>
                </c:pt>
                <c:pt idx="2">
                  <c:v>5758</c:v>
                </c:pt>
                <c:pt idx="3">
                  <c:v>10557</c:v>
                </c:pt>
              </c:numCache>
            </c:numRef>
          </c:val>
        </c:ser>
        <c:dLbls>
          <c:showLegendKey val="0"/>
          <c:showVal val="0"/>
          <c:showCatName val="0"/>
          <c:showSerName val="0"/>
          <c:showPercent val="0"/>
          <c:showBubbleSize val="0"/>
        </c:dLbls>
        <c:gapWidth val="75"/>
        <c:axId val="607076336"/>
        <c:axId val="607080256"/>
      </c:barChart>
      <c:catAx>
        <c:axId val="607086136"/>
        <c:scaling>
          <c:orientation val="minMax"/>
        </c:scaling>
        <c:delete val="0"/>
        <c:axPos val="b"/>
        <c:numFmt formatCode="General" sourceLinked="0"/>
        <c:majorTickMark val="none"/>
        <c:minorTickMark val="none"/>
        <c:tickLblPos val="nextTo"/>
        <c:crossAx val="607082608"/>
        <c:crosses val="autoZero"/>
        <c:auto val="1"/>
        <c:lblAlgn val="ctr"/>
        <c:lblOffset val="100"/>
        <c:noMultiLvlLbl val="0"/>
      </c:catAx>
      <c:valAx>
        <c:axId val="607082608"/>
        <c:scaling>
          <c:orientation val="minMax"/>
        </c:scaling>
        <c:delete val="0"/>
        <c:axPos val="l"/>
        <c:majorGridlines/>
        <c:numFmt formatCode="&quot;$&quot;#,##0" sourceLinked="1"/>
        <c:majorTickMark val="none"/>
        <c:minorTickMark val="none"/>
        <c:tickLblPos val="nextTo"/>
        <c:crossAx val="607086136"/>
        <c:crosses val="autoZero"/>
        <c:crossBetween val="between"/>
      </c:valAx>
      <c:valAx>
        <c:axId val="607080256"/>
        <c:scaling>
          <c:orientation val="minMax"/>
        </c:scaling>
        <c:delete val="1"/>
        <c:axPos val="r"/>
        <c:numFmt formatCode="&quot;$&quot;#,##0" sourceLinked="1"/>
        <c:majorTickMark val="out"/>
        <c:minorTickMark val="none"/>
        <c:tickLblPos val="none"/>
        <c:crossAx val="607076336"/>
        <c:crosses val="max"/>
        <c:crossBetween val="between"/>
      </c:valAx>
      <c:catAx>
        <c:axId val="607076336"/>
        <c:scaling>
          <c:orientation val="minMax"/>
        </c:scaling>
        <c:delete val="1"/>
        <c:axPos val="b"/>
        <c:numFmt formatCode="General" sourceLinked="1"/>
        <c:majorTickMark val="out"/>
        <c:minorTickMark val="none"/>
        <c:tickLblPos val="none"/>
        <c:crossAx val="607080256"/>
        <c:crosses val="autoZero"/>
        <c:auto val="1"/>
        <c:lblAlgn val="ctr"/>
        <c:lblOffset val="100"/>
        <c:noMultiLvlLbl val="0"/>
      </c:catAx>
      <c:spPr>
        <a:solidFill>
          <a:srgbClr val="C0504D">
            <a:lumMod val="20000"/>
            <a:lumOff val="80000"/>
            <a:alpha val="25000"/>
          </a:srgbClr>
        </a:solidFill>
      </c:spPr>
    </c:plotArea>
    <c:legend>
      <c:legendPos val="b"/>
      <c:legendEntry>
        <c:idx val="0"/>
        <c:delete val="1"/>
      </c:legendEntry>
      <c:legendEntry>
        <c:idx val="1"/>
        <c:delete val="1"/>
      </c:legendEntry>
      <c:layout>
        <c:manualLayout>
          <c:xMode val="edge"/>
          <c:yMode val="edge"/>
          <c:x val="0.26490988626421996"/>
          <c:y val="0.90709944231182404"/>
          <c:w val="0.47018000874890636"/>
          <c:h val="8.3648856413233177E-2"/>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1A. Average LOS</a:t>
            </a:r>
          </a:p>
          <a:p>
            <a:pPr>
              <a:defRPr sz="1200"/>
            </a:pPr>
            <a:r>
              <a:rPr lang="en-US" sz="1200"/>
              <a:t>Single</a:t>
            </a:r>
            <a:r>
              <a:rPr lang="en-US" sz="1200" baseline="0"/>
              <a:t> Adults</a:t>
            </a:r>
            <a:endParaRPr lang="en-US" sz="1200"/>
          </a:p>
        </c:rich>
      </c:tx>
      <c:overlay val="0"/>
    </c:title>
    <c:autoTitleDeleted val="0"/>
    <c:plotArea>
      <c:layout/>
      <c:barChart>
        <c:barDir val="col"/>
        <c:grouping val="clustered"/>
        <c:varyColors val="0"/>
        <c:ser>
          <c:idx val="0"/>
          <c:order val="0"/>
          <c:tx>
            <c:strRef>
              <c:f>Formulas!$CI$3</c:f>
              <c:strCache>
                <c:ptCount val="1"/>
                <c:pt idx="0">
                  <c:v>Average LOS - Adult Only HHs</c:v>
                </c:pt>
              </c:strCache>
            </c:strRef>
          </c:tx>
          <c:invertIfNegative val="0"/>
          <c:dLbls>
            <c:spPr>
              <a:noFill/>
              <a:ln>
                <a:noFill/>
              </a:ln>
              <a:effectLst/>
            </c:spPr>
            <c:txPr>
              <a:bodyPr/>
              <a:lstStyle/>
              <a:p>
                <a:pPr>
                  <a:defRPr sz="16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Formulas!$CH$4:$CH$6</c:f>
              <c:strCache>
                <c:ptCount val="3"/>
                <c:pt idx="0">
                  <c:v>Emergency Shelters</c:v>
                </c:pt>
                <c:pt idx="1">
                  <c:v>Transitional Housing</c:v>
                </c:pt>
                <c:pt idx="2">
                  <c:v>Rapid Re-Housing</c:v>
                </c:pt>
              </c:strCache>
            </c:strRef>
          </c:cat>
          <c:val>
            <c:numRef>
              <c:f>Formulas!$CI$4:$CI$6</c:f>
              <c:numCache>
                <c:formatCode>#,##0</c:formatCode>
                <c:ptCount val="3"/>
                <c:pt idx="0">
                  <c:v>47.096774193548384</c:v>
                </c:pt>
                <c:pt idx="1">
                  <c:v>264.04255319148939</c:v>
                </c:pt>
                <c:pt idx="2">
                  <c:v>121.66666666666667</c:v>
                </c:pt>
              </c:numCache>
            </c:numRef>
          </c:val>
        </c:ser>
        <c:dLbls>
          <c:showLegendKey val="0"/>
          <c:showVal val="1"/>
          <c:showCatName val="0"/>
          <c:showSerName val="0"/>
          <c:showPercent val="0"/>
          <c:showBubbleSize val="0"/>
        </c:dLbls>
        <c:gapWidth val="75"/>
        <c:overlap val="-25"/>
        <c:axId val="604260816"/>
        <c:axId val="604259640"/>
      </c:barChart>
      <c:catAx>
        <c:axId val="604260816"/>
        <c:scaling>
          <c:orientation val="minMax"/>
        </c:scaling>
        <c:delete val="0"/>
        <c:axPos val="b"/>
        <c:numFmt formatCode="General" sourceLinked="0"/>
        <c:majorTickMark val="none"/>
        <c:minorTickMark val="none"/>
        <c:tickLblPos val="nextTo"/>
        <c:crossAx val="604259640"/>
        <c:crosses val="autoZero"/>
        <c:auto val="1"/>
        <c:lblAlgn val="ctr"/>
        <c:lblOffset val="100"/>
        <c:noMultiLvlLbl val="0"/>
      </c:catAx>
      <c:valAx>
        <c:axId val="604259640"/>
        <c:scaling>
          <c:orientation val="minMax"/>
        </c:scaling>
        <c:delete val="0"/>
        <c:axPos val="l"/>
        <c:majorGridlines/>
        <c:numFmt formatCode="#,##0" sourceLinked="1"/>
        <c:majorTickMark val="none"/>
        <c:minorTickMark val="none"/>
        <c:tickLblPos val="nextTo"/>
        <c:spPr>
          <a:ln w="9525">
            <a:noFill/>
          </a:ln>
        </c:spPr>
        <c:crossAx val="604260816"/>
        <c:crosses val="autoZero"/>
        <c:crossBetween val="between"/>
      </c:valAx>
      <c:spPr>
        <a:solidFill>
          <a:srgbClr val="C0504D">
            <a:lumMod val="20000"/>
            <a:lumOff val="80000"/>
            <a:alpha val="25000"/>
          </a:srgbClr>
        </a:solidFill>
      </c:spPr>
    </c:plotArea>
    <c:plotVisOnly val="1"/>
    <c:dispBlanksAs val="gap"/>
    <c:showDLblsOverMax val="0"/>
  </c:chart>
  <c:spPr>
    <a:solidFill>
      <a:srgbClr val="C0504D">
        <a:lumMod val="20000"/>
        <a:lumOff val="80000"/>
        <a:alpha val="50000"/>
      </a:srgbClr>
    </a:solidFill>
  </c:spPr>
  <c:printSettings>
    <c:headerFooter/>
    <c:pageMargins b="0.75000000000000167" l="0.70000000000000062" r="0.70000000000000062" t="0.75000000000000167"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Formulas!$BS$38</c:f>
          <c:strCache>
            <c:ptCount val="1"/>
            <c:pt idx="0">
              <c:v>26A. Change in Perm. Supportive Housing Capacity
Single Adults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Formulas!$BT$38</c:f>
              <c:strCache>
                <c:ptCount val="1"/>
                <c:pt idx="0">
                  <c:v>Existing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Formulas!$BU$37:$BV$37</c:f>
              <c:strCache>
                <c:ptCount val="2"/>
                <c:pt idx="0">
                  <c:v>Current</c:v>
                </c:pt>
                <c:pt idx="1">
                  <c:v>Future</c:v>
                </c:pt>
              </c:strCache>
            </c:strRef>
          </c:cat>
          <c:val>
            <c:numRef>
              <c:f>Formulas!$BU$38:$BV$38</c:f>
              <c:numCache>
                <c:formatCode>#,##0_);\(#,##0\)</c:formatCode>
                <c:ptCount val="2"/>
                <c:pt idx="0">
                  <c:v>185</c:v>
                </c:pt>
                <c:pt idx="1">
                  <c:v>185</c:v>
                </c:pt>
              </c:numCache>
            </c:numRef>
          </c:val>
        </c:ser>
        <c:ser>
          <c:idx val="1"/>
          <c:order val="1"/>
          <c:tx>
            <c:strRef>
              <c:f>Formulas!$BT$39</c:f>
              <c:strCache>
                <c:ptCount val="1"/>
                <c:pt idx="0">
                  <c:v>New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Formulas!$BU$37:$BV$37</c:f>
              <c:strCache>
                <c:ptCount val="2"/>
                <c:pt idx="0">
                  <c:v>Current</c:v>
                </c:pt>
                <c:pt idx="1">
                  <c:v>Future</c:v>
                </c:pt>
              </c:strCache>
            </c:strRef>
          </c:cat>
          <c:val>
            <c:numRef>
              <c:f>Formulas!$BU$39:$BV$39</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607077904"/>
        <c:axId val="607086528"/>
      </c:barChart>
      <c:catAx>
        <c:axId val="607077904"/>
        <c:scaling>
          <c:orientation val="minMax"/>
        </c:scaling>
        <c:delete val="0"/>
        <c:axPos val="b"/>
        <c:numFmt formatCode="General" sourceLinked="0"/>
        <c:majorTickMark val="none"/>
        <c:minorTickMark val="none"/>
        <c:tickLblPos val="nextTo"/>
        <c:crossAx val="607086528"/>
        <c:crosses val="autoZero"/>
        <c:auto val="1"/>
        <c:lblAlgn val="ctr"/>
        <c:lblOffset val="100"/>
        <c:noMultiLvlLbl val="0"/>
      </c:catAx>
      <c:valAx>
        <c:axId val="607086528"/>
        <c:scaling>
          <c:orientation val="minMax"/>
        </c:scaling>
        <c:delete val="0"/>
        <c:axPos val="l"/>
        <c:majorGridlines/>
        <c:numFmt formatCode="#,##0_);\(#,##0\)" sourceLinked="1"/>
        <c:majorTickMark val="none"/>
        <c:minorTickMark val="none"/>
        <c:tickLblPos val="nextTo"/>
        <c:spPr>
          <a:ln w="9525">
            <a:noFill/>
          </a:ln>
        </c:spPr>
        <c:crossAx val="607077904"/>
        <c:crosses val="autoZero"/>
        <c:crossBetween val="between"/>
      </c:valAx>
      <c:spPr>
        <a:solidFill>
          <a:srgbClr val="C0504D">
            <a:lumMod val="20000"/>
            <a:lumOff val="80000"/>
            <a:alpha val="25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Formulas!$BS$54</c:f>
          <c:strCache>
            <c:ptCount val="1"/>
            <c:pt idx="0">
              <c:v>26B. Change in Perm. Supportive Housing Capacity
Family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Formulas!$BT$54</c:f>
              <c:strCache>
                <c:ptCount val="1"/>
                <c:pt idx="0">
                  <c:v>Existing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Formulas!$BU$53:$BV$53</c:f>
              <c:strCache>
                <c:ptCount val="2"/>
                <c:pt idx="0">
                  <c:v>Current</c:v>
                </c:pt>
                <c:pt idx="1">
                  <c:v>Future</c:v>
                </c:pt>
              </c:strCache>
            </c:strRef>
          </c:cat>
          <c:val>
            <c:numRef>
              <c:f>Formulas!$BU$54:$BV$54</c:f>
              <c:numCache>
                <c:formatCode>#,##0_);\(#,##0\)</c:formatCode>
                <c:ptCount val="2"/>
                <c:pt idx="0">
                  <c:v>80</c:v>
                </c:pt>
                <c:pt idx="1">
                  <c:v>80</c:v>
                </c:pt>
              </c:numCache>
            </c:numRef>
          </c:val>
        </c:ser>
        <c:ser>
          <c:idx val="1"/>
          <c:order val="1"/>
          <c:tx>
            <c:strRef>
              <c:f>Formulas!$BT$55</c:f>
              <c:strCache>
                <c:ptCount val="1"/>
                <c:pt idx="0">
                  <c:v>New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Formulas!$BU$53:$BV$53</c:f>
              <c:strCache>
                <c:ptCount val="2"/>
                <c:pt idx="0">
                  <c:v>Current</c:v>
                </c:pt>
                <c:pt idx="1">
                  <c:v>Future</c:v>
                </c:pt>
              </c:strCache>
            </c:strRef>
          </c:cat>
          <c:val>
            <c:numRef>
              <c:f>Formulas!$BU$55:$BV$55</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607080648"/>
        <c:axId val="607087312"/>
      </c:barChart>
      <c:catAx>
        <c:axId val="607080648"/>
        <c:scaling>
          <c:orientation val="minMax"/>
        </c:scaling>
        <c:delete val="0"/>
        <c:axPos val="b"/>
        <c:numFmt formatCode="General" sourceLinked="0"/>
        <c:majorTickMark val="none"/>
        <c:minorTickMark val="none"/>
        <c:tickLblPos val="nextTo"/>
        <c:crossAx val="607087312"/>
        <c:crosses val="autoZero"/>
        <c:auto val="1"/>
        <c:lblAlgn val="ctr"/>
        <c:lblOffset val="100"/>
        <c:noMultiLvlLbl val="0"/>
      </c:catAx>
      <c:valAx>
        <c:axId val="607087312"/>
        <c:scaling>
          <c:orientation val="minMax"/>
        </c:scaling>
        <c:delete val="0"/>
        <c:axPos val="l"/>
        <c:majorGridlines/>
        <c:numFmt formatCode="#,##0_);\(#,##0\)" sourceLinked="1"/>
        <c:majorTickMark val="none"/>
        <c:minorTickMark val="none"/>
        <c:tickLblPos val="nextTo"/>
        <c:spPr>
          <a:ln w="9525">
            <a:noFill/>
          </a:ln>
        </c:spPr>
        <c:crossAx val="607080648"/>
        <c:crosses val="autoZero"/>
        <c:crossBetween val="between"/>
      </c:valAx>
      <c:spPr>
        <a:solidFill>
          <a:srgbClr val="FFFF99">
            <a:alpha val="25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5" l="0.70000000000000062" r="0.70000000000000062" t="0.750000000000005"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Formulas!$BS$70</c:f>
          <c:strCache>
            <c:ptCount val="1"/>
            <c:pt idx="0">
              <c:v>26C. Change in Perm. Supportive Housing Capacity
All Households</c:v>
            </c:pt>
          </c:strCache>
        </c:strRef>
      </c:tx>
      <c:overlay val="0"/>
      <c:txPr>
        <a:bodyPr/>
        <a:lstStyle/>
        <a:p>
          <a:pPr>
            <a:defRPr sz="1200"/>
          </a:pPr>
          <a:endParaRPr lang="en-US"/>
        </a:p>
      </c:txPr>
    </c:title>
    <c:autoTitleDeleted val="0"/>
    <c:plotArea>
      <c:layout/>
      <c:barChart>
        <c:barDir val="col"/>
        <c:grouping val="stacked"/>
        <c:varyColors val="0"/>
        <c:ser>
          <c:idx val="0"/>
          <c:order val="0"/>
          <c:tx>
            <c:strRef>
              <c:f>Formulas!$BT$70</c:f>
              <c:strCache>
                <c:ptCount val="1"/>
                <c:pt idx="0">
                  <c:v>Existing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Formulas!$BU$69:$BV$69</c:f>
              <c:strCache>
                <c:ptCount val="2"/>
                <c:pt idx="0">
                  <c:v>Current</c:v>
                </c:pt>
                <c:pt idx="1">
                  <c:v>Future</c:v>
                </c:pt>
              </c:strCache>
            </c:strRef>
          </c:cat>
          <c:val>
            <c:numRef>
              <c:f>Formulas!$BU$70:$BV$70</c:f>
              <c:numCache>
                <c:formatCode>#,##0_);\(#,##0\)</c:formatCode>
                <c:ptCount val="2"/>
                <c:pt idx="0">
                  <c:v>265</c:v>
                </c:pt>
                <c:pt idx="1">
                  <c:v>265</c:v>
                </c:pt>
              </c:numCache>
            </c:numRef>
          </c:val>
        </c:ser>
        <c:ser>
          <c:idx val="1"/>
          <c:order val="1"/>
          <c:tx>
            <c:strRef>
              <c:f>Formulas!$BT$71</c:f>
              <c:strCache>
                <c:ptCount val="1"/>
                <c:pt idx="0">
                  <c:v>New PSH Capacity</c:v>
                </c:pt>
              </c:strCache>
            </c:strRef>
          </c:tx>
          <c:invertIfNegative val="0"/>
          <c:dLbls>
            <c:numFmt formatCode="0;;;" sourceLinked="0"/>
            <c:spPr>
              <a:noFill/>
              <a:ln>
                <a:noFill/>
              </a:ln>
              <a:effectLst/>
            </c:spPr>
            <c:txPr>
              <a:bodyPr/>
              <a:lstStyle/>
              <a:p>
                <a:pPr>
                  <a:defRPr sz="12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Formulas!$BU$69:$BV$69</c:f>
              <c:strCache>
                <c:ptCount val="2"/>
                <c:pt idx="0">
                  <c:v>Current</c:v>
                </c:pt>
                <c:pt idx="1">
                  <c:v>Future</c:v>
                </c:pt>
              </c:strCache>
            </c:strRef>
          </c:cat>
          <c:val>
            <c:numRef>
              <c:f>Formulas!$BU$71:$BV$71</c:f>
              <c:numCache>
                <c:formatCode>#,##0</c:formatCode>
                <c:ptCount val="2"/>
                <c:pt idx="0" formatCode="General">
                  <c:v>0</c:v>
                </c:pt>
                <c:pt idx="1">
                  <c:v>0</c:v>
                </c:pt>
              </c:numCache>
            </c:numRef>
          </c:val>
        </c:ser>
        <c:dLbls>
          <c:showLegendKey val="0"/>
          <c:showVal val="1"/>
          <c:showCatName val="0"/>
          <c:showSerName val="0"/>
          <c:showPercent val="0"/>
          <c:showBubbleSize val="0"/>
        </c:dLbls>
        <c:gapWidth val="75"/>
        <c:overlap val="100"/>
        <c:axId val="607081432"/>
        <c:axId val="607084568"/>
      </c:barChart>
      <c:catAx>
        <c:axId val="607081432"/>
        <c:scaling>
          <c:orientation val="minMax"/>
        </c:scaling>
        <c:delete val="0"/>
        <c:axPos val="b"/>
        <c:numFmt formatCode="General" sourceLinked="0"/>
        <c:majorTickMark val="none"/>
        <c:minorTickMark val="none"/>
        <c:tickLblPos val="nextTo"/>
        <c:crossAx val="607084568"/>
        <c:crosses val="autoZero"/>
        <c:auto val="1"/>
        <c:lblAlgn val="ctr"/>
        <c:lblOffset val="100"/>
        <c:noMultiLvlLbl val="0"/>
      </c:catAx>
      <c:valAx>
        <c:axId val="607084568"/>
        <c:scaling>
          <c:orientation val="minMax"/>
        </c:scaling>
        <c:delete val="0"/>
        <c:axPos val="l"/>
        <c:majorGridlines/>
        <c:numFmt formatCode="#,##0_);\(#,##0\)" sourceLinked="1"/>
        <c:majorTickMark val="none"/>
        <c:minorTickMark val="none"/>
        <c:tickLblPos val="nextTo"/>
        <c:spPr>
          <a:ln w="9525">
            <a:noFill/>
          </a:ln>
        </c:spPr>
        <c:crossAx val="607081432"/>
        <c:crosses val="autoZero"/>
        <c:crossBetween val="between"/>
      </c:valAx>
      <c:spPr>
        <a:solidFill>
          <a:sysClr val="window" lastClr="FFFFFF">
            <a:lumMod val="95000"/>
            <a:alpha val="25000"/>
          </a:sysClr>
        </a:solidFill>
      </c:spPr>
    </c:plotArea>
    <c:legend>
      <c:legendPos val="b"/>
      <c:overlay val="0"/>
    </c:legend>
    <c:plotVisOnly val="1"/>
    <c:dispBlanksAs val="gap"/>
    <c:showDLblsOverMax val="0"/>
  </c:chart>
  <c:spPr>
    <a:solidFill>
      <a:sysClr val="window" lastClr="FFFFFF">
        <a:lumMod val="95000"/>
        <a:alpha val="50000"/>
      </a:sysClr>
    </a:solidFill>
  </c:spPr>
  <c:printSettings>
    <c:headerFooter/>
    <c:pageMargins b="0.750000000000005" l="0.70000000000000062" r="0.70000000000000062" t="0.750000000000005"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27A. Annual System Investments</a:t>
            </a:r>
          </a:p>
          <a:p>
            <a:pPr algn="r">
              <a:defRPr sz="1200"/>
            </a:pPr>
            <a:r>
              <a:rPr lang="en-US" sz="1200"/>
              <a:t>Single Adult Households</a:t>
            </a:r>
          </a:p>
        </c:rich>
      </c:tx>
      <c:layout>
        <c:manualLayout>
          <c:xMode val="edge"/>
          <c:yMode val="edge"/>
          <c:x val="0.51823600174978057"/>
          <c:y val="3.2380954462325091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Formulas!$BT$143:$BT$146</c:f>
              <c:strCache>
                <c:ptCount val="4"/>
                <c:pt idx="0">
                  <c:v>Emergency Shelter</c:v>
                </c:pt>
                <c:pt idx="1">
                  <c:v>Transitional Housing</c:v>
                </c:pt>
                <c:pt idx="2">
                  <c:v>Rapid Re-Housing</c:v>
                </c:pt>
                <c:pt idx="3">
                  <c:v>Permanent Supportive Housing</c:v>
                </c:pt>
              </c:strCache>
            </c:strRef>
          </c:cat>
          <c:val>
            <c:numRef>
              <c:f>Formulas!$BU$143:$BU$146</c:f>
              <c:numCache>
                <c:formatCode>"$"#,##0</c:formatCode>
                <c:ptCount val="4"/>
                <c:pt idx="0">
                  <c:v>2000000</c:v>
                </c:pt>
                <c:pt idx="1">
                  <c:v>1800000</c:v>
                </c:pt>
                <c:pt idx="2">
                  <c:v>645000</c:v>
                </c:pt>
                <c:pt idx="3">
                  <c:v>2500000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9108818587546974"/>
          <c:y val="0.71223020272517512"/>
          <c:w val="0.40497625147249616"/>
          <c:h val="0.28365060476622883"/>
        </c:manualLayout>
      </c:layout>
      <c:overlay val="0"/>
    </c:legend>
    <c:plotVisOnly val="1"/>
    <c:dispBlanksAs val="zero"/>
    <c:showDLblsOverMax val="0"/>
  </c:chart>
  <c:spPr>
    <a:solidFill>
      <a:srgbClr val="C0504D">
        <a:lumMod val="20000"/>
        <a:lumOff val="80000"/>
        <a:alpha val="50000"/>
      </a:srgbClr>
    </a:solidFill>
  </c:spPr>
  <c:printSettings>
    <c:headerFooter/>
    <c:pageMargins b="0.75000000000000455" l="0.70000000000000062" r="0.70000000000000062" t="0.75000000000000455"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27B. Annual</a:t>
            </a:r>
            <a:r>
              <a:rPr lang="en-US" sz="1200" baseline="0"/>
              <a:t> </a:t>
            </a:r>
            <a:r>
              <a:rPr lang="en-US" sz="1200"/>
              <a:t>System Investments </a:t>
            </a:r>
          </a:p>
          <a:p>
            <a:pPr algn="r">
              <a:defRPr sz="1200"/>
            </a:pPr>
            <a:r>
              <a:rPr lang="en-US" sz="1200"/>
              <a:t>Family Households</a:t>
            </a:r>
          </a:p>
        </c:rich>
      </c:tx>
      <c:layout>
        <c:manualLayout>
          <c:xMode val="edge"/>
          <c:yMode val="edge"/>
          <c:x val="0.51823600174978057"/>
          <c:y val="3.2380954462325091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Formulas!$BT$143:$BT$146</c:f>
              <c:strCache>
                <c:ptCount val="4"/>
                <c:pt idx="0">
                  <c:v>Emergency Shelter</c:v>
                </c:pt>
                <c:pt idx="1">
                  <c:v>Transitional Housing</c:v>
                </c:pt>
                <c:pt idx="2">
                  <c:v>Rapid Re-Housing</c:v>
                </c:pt>
                <c:pt idx="3">
                  <c:v>Permanent Supportive Housing</c:v>
                </c:pt>
              </c:strCache>
            </c:strRef>
          </c:cat>
          <c:val>
            <c:numRef>
              <c:f>Formulas!$BV$143:$BV$146</c:f>
              <c:numCache>
                <c:formatCode>"$"#,##0</c:formatCode>
                <c:ptCount val="4"/>
                <c:pt idx="0">
                  <c:v>1200000</c:v>
                </c:pt>
                <c:pt idx="1">
                  <c:v>3000000</c:v>
                </c:pt>
                <c:pt idx="2">
                  <c:v>850000</c:v>
                </c:pt>
                <c:pt idx="3">
                  <c:v>1500000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477570219566701"/>
          <c:y val="0.72148190400012235"/>
          <c:w val="0.39224514219373274"/>
          <c:h val="0.27445936736575505"/>
        </c:manualLayout>
      </c:layout>
      <c:overlay val="0"/>
      <c:txPr>
        <a:bodyPr/>
        <a:lstStyle/>
        <a:p>
          <a:pPr rtl="0">
            <a:defRPr/>
          </a:pPr>
          <a:endParaRPr lang="en-US"/>
        </a:p>
      </c:txPr>
    </c:legend>
    <c:plotVisOnly val="1"/>
    <c:dispBlanksAs val="zero"/>
    <c:showDLblsOverMax val="0"/>
  </c:chart>
  <c:spPr>
    <a:solidFill>
      <a:srgbClr val="FFFF99">
        <a:alpha val="50000"/>
      </a:srgbClr>
    </a:solidFill>
  </c:spPr>
  <c:printSettings>
    <c:headerFooter/>
    <c:pageMargins b="0.75000000000000477" l="0.70000000000000062" r="0.70000000000000062" t="0.75000000000000477"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r">
              <a:defRPr sz="1200"/>
            </a:pPr>
            <a:r>
              <a:rPr lang="en-US" sz="1200"/>
              <a:t>27C. Annual System Investments</a:t>
            </a:r>
          </a:p>
          <a:p>
            <a:pPr algn="r">
              <a:defRPr sz="1200"/>
            </a:pPr>
            <a:r>
              <a:rPr lang="en-US" sz="1200"/>
              <a:t>All Households</a:t>
            </a:r>
          </a:p>
        </c:rich>
      </c:tx>
      <c:layout>
        <c:manualLayout>
          <c:xMode val="edge"/>
          <c:yMode val="edge"/>
          <c:x val="0.51823600174978057"/>
          <c:y val="3.7006805099800012E-2"/>
        </c:manualLayout>
      </c:layout>
      <c:overlay val="0"/>
    </c:title>
    <c:autoTitleDeleted val="0"/>
    <c:plotArea>
      <c:layout>
        <c:manualLayout>
          <c:layoutTarget val="inner"/>
          <c:xMode val="edge"/>
          <c:yMode val="edge"/>
          <c:x val="9.5735783027121615E-2"/>
          <c:y val="0.14326441544363921"/>
          <c:w val="0.48423797025371834"/>
          <c:h val="0.80640450841959765"/>
        </c:manualLayout>
      </c:layout>
      <c:pieChart>
        <c:varyColors val="1"/>
        <c:ser>
          <c:idx val="0"/>
          <c:order val="0"/>
          <c:dLbls>
            <c:spPr>
              <a:noFill/>
              <a:ln>
                <a:noFill/>
              </a:ln>
              <a:effectLst/>
            </c:spPr>
            <c:txPr>
              <a:bodyPr/>
              <a:lstStyle/>
              <a:p>
                <a:pPr>
                  <a:defRPr sz="1100" b="1"/>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Formulas!$BT$143:$BT$146</c:f>
              <c:strCache>
                <c:ptCount val="4"/>
                <c:pt idx="0">
                  <c:v>Emergency Shelter</c:v>
                </c:pt>
                <c:pt idx="1">
                  <c:v>Transitional Housing</c:v>
                </c:pt>
                <c:pt idx="2">
                  <c:v>Rapid Re-Housing</c:v>
                </c:pt>
                <c:pt idx="3">
                  <c:v>Permanent Supportive Housing</c:v>
                </c:pt>
              </c:strCache>
            </c:strRef>
          </c:cat>
          <c:val>
            <c:numRef>
              <c:f>Formulas!$BW$143:$BW$146</c:f>
              <c:numCache>
                <c:formatCode>"$"#,##0</c:formatCode>
                <c:ptCount val="4"/>
                <c:pt idx="0">
                  <c:v>3200000</c:v>
                </c:pt>
                <c:pt idx="1">
                  <c:v>4800000</c:v>
                </c:pt>
                <c:pt idx="2">
                  <c:v>1495000</c:v>
                </c:pt>
                <c:pt idx="3">
                  <c:v>4000000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0626522446745945"/>
          <c:y val="0.7538628584624476"/>
          <c:w val="0.39095699714720333"/>
          <c:h val="0.24207841290342791"/>
        </c:manualLayout>
      </c:layout>
      <c:overlay val="0"/>
      <c:txPr>
        <a:bodyPr/>
        <a:lstStyle/>
        <a:p>
          <a:pPr rtl="0">
            <a:defRPr/>
          </a:pPr>
          <a:endParaRPr lang="en-US"/>
        </a:p>
      </c:txPr>
    </c:legend>
    <c:plotVisOnly val="1"/>
    <c:dispBlanksAs val="zero"/>
    <c:showDLblsOverMax val="0"/>
  </c:chart>
  <c:spPr>
    <a:solidFill>
      <a:sysClr val="window" lastClr="FFFFFF">
        <a:lumMod val="95000"/>
        <a:alpha val="50000"/>
      </a:sysClr>
    </a:solidFill>
  </c:spPr>
  <c:printSettings>
    <c:headerFooter/>
    <c:pageMargins b="0.75000000000000477" l="0.70000000000000062" r="0.70000000000000062" t="0.75000000000000477"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Formulas!$BS$75</c:f>
          <c:strCache>
            <c:ptCount val="1"/>
            <c:pt idx="0">
              <c:v>24A. Rate of Return to Homelessness
Single Adults</c:v>
            </c:pt>
          </c:strCache>
        </c:strRef>
      </c:tx>
      <c:overlay val="0"/>
      <c:txPr>
        <a:bodyPr/>
        <a:lstStyle/>
        <a:p>
          <a:pPr>
            <a:defRPr sz="1200"/>
          </a:pPr>
          <a:endParaRPr lang="en-US"/>
        </a:p>
      </c:txPr>
    </c:title>
    <c:autoTitleDeleted val="0"/>
    <c:plotArea>
      <c:layout>
        <c:manualLayout>
          <c:layoutTarget val="inner"/>
          <c:xMode val="edge"/>
          <c:yMode val="edge"/>
          <c:x val="0.10593285214348212"/>
          <c:y val="0.25130796150481455"/>
          <c:w val="0.86351159230096242"/>
          <c:h val="0.51100904053660001"/>
        </c:manualLayout>
      </c:layout>
      <c:barChart>
        <c:barDir val="col"/>
        <c:grouping val="clustered"/>
        <c:varyColors val="0"/>
        <c:ser>
          <c:idx val="0"/>
          <c:order val="0"/>
          <c:tx>
            <c:strRef>
              <c:f>Formulas!$BU$74</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Formulas!$BT$75:$BT$78</c:f>
              <c:strCache>
                <c:ptCount val="4"/>
                <c:pt idx="0">
                  <c:v>ES</c:v>
                </c:pt>
                <c:pt idx="1">
                  <c:v>TH</c:v>
                </c:pt>
                <c:pt idx="2">
                  <c:v>RR</c:v>
                </c:pt>
                <c:pt idx="3">
                  <c:v>All Programs</c:v>
                </c:pt>
              </c:strCache>
            </c:strRef>
          </c:cat>
          <c:val>
            <c:numRef>
              <c:f>Formulas!$BU$75:$BU$78</c:f>
              <c:numCache>
                <c:formatCode>0%</c:formatCode>
                <c:ptCount val="4"/>
                <c:pt idx="0">
                  <c:v>0.14716981132075471</c:v>
                </c:pt>
                <c:pt idx="1">
                  <c:v>7.1428571428571425E-2</c:v>
                </c:pt>
                <c:pt idx="2">
                  <c:v>8.9285714285714288E-2</c:v>
                </c:pt>
                <c:pt idx="3">
                  <c:v>0.10262803234501348</c:v>
                </c:pt>
              </c:numCache>
            </c:numRef>
          </c:val>
        </c:ser>
        <c:ser>
          <c:idx val="1"/>
          <c:order val="1"/>
          <c:tx>
            <c:strRef>
              <c:f>Formulas!$BV$74</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Formulas!$BT$75:$BT$78</c:f>
              <c:strCache>
                <c:ptCount val="4"/>
                <c:pt idx="0">
                  <c:v>ES</c:v>
                </c:pt>
                <c:pt idx="1">
                  <c:v>TH</c:v>
                </c:pt>
                <c:pt idx="2">
                  <c:v>RR</c:v>
                </c:pt>
                <c:pt idx="3">
                  <c:v>All Programs</c:v>
                </c:pt>
              </c:strCache>
            </c:strRef>
          </c:cat>
          <c:val>
            <c:numRef>
              <c:f>Formulas!$BV$75:$BV$78</c:f>
              <c:numCache>
                <c:formatCode>0%</c:formatCode>
                <c:ptCount val="4"/>
                <c:pt idx="0">
                  <c:v>0.14716981132075471</c:v>
                </c:pt>
                <c:pt idx="1">
                  <c:v>7.1428571428571425E-2</c:v>
                </c:pt>
                <c:pt idx="2">
                  <c:v>8.9285714285714288E-2</c:v>
                </c:pt>
                <c:pt idx="3">
                  <c:v>0.10262803234501348</c:v>
                </c:pt>
              </c:numCache>
            </c:numRef>
          </c:val>
        </c:ser>
        <c:dLbls>
          <c:showLegendKey val="0"/>
          <c:showVal val="1"/>
          <c:showCatName val="0"/>
          <c:showSerName val="0"/>
          <c:showPercent val="0"/>
          <c:showBubbleSize val="0"/>
        </c:dLbls>
        <c:gapWidth val="75"/>
        <c:axId val="607088096"/>
        <c:axId val="609835816"/>
      </c:barChart>
      <c:catAx>
        <c:axId val="607088096"/>
        <c:scaling>
          <c:orientation val="minMax"/>
        </c:scaling>
        <c:delete val="0"/>
        <c:axPos val="b"/>
        <c:numFmt formatCode="General" sourceLinked="0"/>
        <c:majorTickMark val="none"/>
        <c:minorTickMark val="none"/>
        <c:tickLblPos val="nextTo"/>
        <c:crossAx val="609835816"/>
        <c:crosses val="autoZero"/>
        <c:auto val="1"/>
        <c:lblAlgn val="ctr"/>
        <c:lblOffset val="100"/>
        <c:noMultiLvlLbl val="0"/>
      </c:catAx>
      <c:valAx>
        <c:axId val="609835816"/>
        <c:scaling>
          <c:orientation val="minMax"/>
        </c:scaling>
        <c:delete val="0"/>
        <c:axPos val="l"/>
        <c:majorGridlines/>
        <c:numFmt formatCode="0%" sourceLinked="1"/>
        <c:majorTickMark val="none"/>
        <c:minorTickMark val="none"/>
        <c:tickLblPos val="nextTo"/>
        <c:spPr>
          <a:ln w="9525">
            <a:noFill/>
          </a:ln>
        </c:spPr>
        <c:crossAx val="607088096"/>
        <c:crosses val="autoZero"/>
        <c:crossBetween val="between"/>
      </c:valAx>
      <c:spPr>
        <a:solidFill>
          <a:srgbClr val="C0504D">
            <a:lumMod val="20000"/>
            <a:lumOff val="80000"/>
            <a:alpha val="50000"/>
          </a:srgbClr>
        </a:solidFill>
      </c:spPr>
    </c:plotArea>
    <c:legend>
      <c:legendPos val="b"/>
      <c:overlay val="0"/>
    </c:legend>
    <c:plotVisOnly val="1"/>
    <c:dispBlanksAs val="gap"/>
    <c:showDLblsOverMax val="0"/>
  </c:chart>
  <c:spPr>
    <a:solidFill>
      <a:srgbClr val="C0504D">
        <a:lumMod val="20000"/>
        <a:lumOff val="80000"/>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Formulas!$BS$83</c:f>
          <c:strCache>
            <c:ptCount val="1"/>
            <c:pt idx="0">
              <c:v>24B. Rate of Return to Homelessness
Family Households</c:v>
            </c:pt>
          </c:strCache>
        </c:strRef>
      </c:tx>
      <c:overlay val="0"/>
      <c:txPr>
        <a:bodyPr/>
        <a:lstStyle/>
        <a:p>
          <a:pPr>
            <a:defRPr sz="1200"/>
          </a:pPr>
          <a:endParaRPr lang="en-US"/>
        </a:p>
      </c:txPr>
    </c:title>
    <c:autoTitleDeleted val="0"/>
    <c:plotArea>
      <c:layout>
        <c:manualLayout>
          <c:layoutTarget val="inner"/>
          <c:xMode val="edge"/>
          <c:yMode val="edge"/>
          <c:x val="9.1849518810148481E-2"/>
          <c:y val="0.25130796150481477"/>
          <c:w val="0.87759492563429575"/>
          <c:h val="0.55267570720326664"/>
        </c:manualLayout>
      </c:layout>
      <c:barChart>
        <c:barDir val="col"/>
        <c:grouping val="clustered"/>
        <c:varyColors val="0"/>
        <c:ser>
          <c:idx val="0"/>
          <c:order val="0"/>
          <c:tx>
            <c:strRef>
              <c:f>Formulas!$BU$82</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Formulas!$BT$83:$BT$86</c:f>
              <c:strCache>
                <c:ptCount val="4"/>
                <c:pt idx="0">
                  <c:v>ES</c:v>
                </c:pt>
                <c:pt idx="1">
                  <c:v>TH</c:v>
                </c:pt>
                <c:pt idx="2">
                  <c:v>RR</c:v>
                </c:pt>
                <c:pt idx="3">
                  <c:v>All Programs</c:v>
                </c:pt>
              </c:strCache>
            </c:strRef>
          </c:cat>
          <c:val>
            <c:numRef>
              <c:f>Formulas!$BU$83:$BU$86</c:f>
              <c:numCache>
                <c:formatCode>0%</c:formatCode>
                <c:ptCount val="4"/>
                <c:pt idx="0">
                  <c:v>0.10948905109489052</c:v>
                </c:pt>
                <c:pt idx="1">
                  <c:v>8.8607594936708861E-2</c:v>
                </c:pt>
                <c:pt idx="2">
                  <c:v>3.8297872340425532E-2</c:v>
                </c:pt>
                <c:pt idx="3">
                  <c:v>7.879817279067497E-2</c:v>
                </c:pt>
              </c:numCache>
            </c:numRef>
          </c:val>
        </c:ser>
        <c:ser>
          <c:idx val="1"/>
          <c:order val="1"/>
          <c:tx>
            <c:strRef>
              <c:f>Formulas!$BV$82</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Formulas!$BT$83:$BT$86</c:f>
              <c:strCache>
                <c:ptCount val="4"/>
                <c:pt idx="0">
                  <c:v>ES</c:v>
                </c:pt>
                <c:pt idx="1">
                  <c:v>TH</c:v>
                </c:pt>
                <c:pt idx="2">
                  <c:v>RR</c:v>
                </c:pt>
                <c:pt idx="3">
                  <c:v>All Programs</c:v>
                </c:pt>
              </c:strCache>
            </c:strRef>
          </c:cat>
          <c:val>
            <c:numRef>
              <c:f>Formulas!$BV$83:$BV$86</c:f>
              <c:numCache>
                <c:formatCode>0%</c:formatCode>
                <c:ptCount val="4"/>
                <c:pt idx="0">
                  <c:v>0.10948905109489052</c:v>
                </c:pt>
                <c:pt idx="1">
                  <c:v>8.8607594936708861E-2</c:v>
                </c:pt>
                <c:pt idx="2">
                  <c:v>3.8297872340425532E-2</c:v>
                </c:pt>
                <c:pt idx="3">
                  <c:v>7.879817279067497E-2</c:v>
                </c:pt>
              </c:numCache>
            </c:numRef>
          </c:val>
        </c:ser>
        <c:dLbls>
          <c:showLegendKey val="0"/>
          <c:showVal val="1"/>
          <c:showCatName val="0"/>
          <c:showSerName val="0"/>
          <c:showPercent val="0"/>
          <c:showBubbleSize val="0"/>
        </c:dLbls>
        <c:gapWidth val="75"/>
        <c:axId val="609845224"/>
        <c:axId val="609838952"/>
      </c:barChart>
      <c:catAx>
        <c:axId val="609845224"/>
        <c:scaling>
          <c:orientation val="minMax"/>
        </c:scaling>
        <c:delete val="0"/>
        <c:axPos val="b"/>
        <c:numFmt formatCode="General" sourceLinked="0"/>
        <c:majorTickMark val="none"/>
        <c:minorTickMark val="none"/>
        <c:tickLblPos val="nextTo"/>
        <c:crossAx val="609838952"/>
        <c:crosses val="autoZero"/>
        <c:auto val="1"/>
        <c:lblAlgn val="ctr"/>
        <c:lblOffset val="100"/>
        <c:noMultiLvlLbl val="0"/>
      </c:catAx>
      <c:valAx>
        <c:axId val="609838952"/>
        <c:scaling>
          <c:orientation val="minMax"/>
        </c:scaling>
        <c:delete val="0"/>
        <c:axPos val="l"/>
        <c:majorGridlines/>
        <c:numFmt formatCode="0%" sourceLinked="1"/>
        <c:majorTickMark val="none"/>
        <c:minorTickMark val="none"/>
        <c:tickLblPos val="nextTo"/>
        <c:crossAx val="609845224"/>
        <c:crosses val="autoZero"/>
        <c:crossBetween val="between"/>
      </c:valAx>
      <c:spPr>
        <a:solidFill>
          <a:srgbClr val="FFFF99">
            <a:alpha val="50000"/>
          </a:srgbClr>
        </a:solidFill>
      </c:spPr>
    </c:plotArea>
    <c:legend>
      <c:legendPos val="b"/>
      <c:overlay val="0"/>
    </c:legend>
    <c:plotVisOnly val="1"/>
    <c:dispBlanksAs val="gap"/>
    <c:showDLblsOverMax val="0"/>
  </c:chart>
  <c:spPr>
    <a:solidFill>
      <a:srgbClr val="FFFF99">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Formulas!$BS$91</c:f>
          <c:strCache>
            <c:ptCount val="1"/>
            <c:pt idx="0">
              <c:v>24C. Rate of Return to Homelessness
All Households</c:v>
            </c:pt>
          </c:strCache>
        </c:strRef>
      </c:tx>
      <c:overlay val="0"/>
      <c:txPr>
        <a:bodyPr/>
        <a:lstStyle/>
        <a:p>
          <a:pPr>
            <a:defRPr sz="1200"/>
          </a:pPr>
          <a:endParaRPr lang="en-US"/>
        </a:p>
      </c:txPr>
    </c:title>
    <c:autoTitleDeleted val="0"/>
    <c:plotArea>
      <c:layout>
        <c:manualLayout>
          <c:layoutTarget val="inner"/>
          <c:xMode val="edge"/>
          <c:yMode val="edge"/>
          <c:x val="7.7766185476815422E-2"/>
          <c:y val="0.25130796150481477"/>
          <c:w val="0.89167825896762909"/>
          <c:h val="0.56193496646252561"/>
        </c:manualLayout>
      </c:layout>
      <c:barChart>
        <c:barDir val="col"/>
        <c:grouping val="clustered"/>
        <c:varyColors val="0"/>
        <c:ser>
          <c:idx val="0"/>
          <c:order val="0"/>
          <c:tx>
            <c:strRef>
              <c:f>Formulas!$BU$90</c:f>
              <c:strCache>
                <c:ptCount val="1"/>
                <c:pt idx="0">
                  <c:v>Current</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Formulas!$BT$91:$BT$94</c:f>
              <c:strCache>
                <c:ptCount val="4"/>
                <c:pt idx="0">
                  <c:v>ES</c:v>
                </c:pt>
                <c:pt idx="1">
                  <c:v>TH</c:v>
                </c:pt>
                <c:pt idx="2">
                  <c:v>RR</c:v>
                </c:pt>
                <c:pt idx="3">
                  <c:v>All Programs</c:v>
                </c:pt>
              </c:strCache>
            </c:strRef>
          </c:cat>
          <c:val>
            <c:numRef>
              <c:f>Formulas!$BU$91:$BU$94</c:f>
              <c:numCache>
                <c:formatCode>0%</c:formatCode>
                <c:ptCount val="4"/>
                <c:pt idx="0">
                  <c:v>0.13432835820895522</c:v>
                </c:pt>
                <c:pt idx="1">
                  <c:v>8.203125E-2</c:v>
                </c:pt>
                <c:pt idx="2">
                  <c:v>5.4755043227665709E-2</c:v>
                </c:pt>
                <c:pt idx="3">
                  <c:v>9.0371550478873644E-2</c:v>
                </c:pt>
              </c:numCache>
            </c:numRef>
          </c:val>
        </c:ser>
        <c:ser>
          <c:idx val="1"/>
          <c:order val="1"/>
          <c:tx>
            <c:strRef>
              <c:f>Formulas!$BV$90</c:f>
              <c:strCache>
                <c:ptCount val="1"/>
                <c:pt idx="0">
                  <c:v>New</c:v>
                </c:pt>
              </c:strCache>
            </c:strRef>
          </c:tx>
          <c:invertIfNegative val="0"/>
          <c:dLbls>
            <c:numFmt formatCode="#%;;;" sourceLinked="0"/>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Formulas!$BT$91:$BT$94</c:f>
              <c:strCache>
                <c:ptCount val="4"/>
                <c:pt idx="0">
                  <c:v>ES</c:v>
                </c:pt>
                <c:pt idx="1">
                  <c:v>TH</c:v>
                </c:pt>
                <c:pt idx="2">
                  <c:v>RR</c:v>
                </c:pt>
                <c:pt idx="3">
                  <c:v>All Programs</c:v>
                </c:pt>
              </c:strCache>
            </c:strRef>
          </c:cat>
          <c:val>
            <c:numRef>
              <c:f>Formulas!$BV$91:$BV$94</c:f>
              <c:numCache>
                <c:formatCode>0%</c:formatCode>
                <c:ptCount val="4"/>
                <c:pt idx="0">
                  <c:v>0.13432835820895522</c:v>
                </c:pt>
                <c:pt idx="1">
                  <c:v>8.203125E-2</c:v>
                </c:pt>
                <c:pt idx="2">
                  <c:v>5.4755043227665709E-2</c:v>
                </c:pt>
                <c:pt idx="3">
                  <c:v>9.0371550478873644E-2</c:v>
                </c:pt>
              </c:numCache>
            </c:numRef>
          </c:val>
        </c:ser>
        <c:dLbls>
          <c:showLegendKey val="0"/>
          <c:showVal val="1"/>
          <c:showCatName val="0"/>
          <c:showSerName val="0"/>
          <c:showPercent val="0"/>
          <c:showBubbleSize val="0"/>
        </c:dLbls>
        <c:gapWidth val="75"/>
        <c:axId val="609846008"/>
        <c:axId val="609842088"/>
      </c:barChart>
      <c:catAx>
        <c:axId val="609846008"/>
        <c:scaling>
          <c:orientation val="minMax"/>
        </c:scaling>
        <c:delete val="0"/>
        <c:axPos val="b"/>
        <c:numFmt formatCode="General" sourceLinked="0"/>
        <c:majorTickMark val="none"/>
        <c:minorTickMark val="none"/>
        <c:tickLblPos val="nextTo"/>
        <c:crossAx val="609842088"/>
        <c:crosses val="autoZero"/>
        <c:auto val="1"/>
        <c:lblAlgn val="ctr"/>
        <c:lblOffset val="100"/>
        <c:noMultiLvlLbl val="0"/>
      </c:catAx>
      <c:valAx>
        <c:axId val="609842088"/>
        <c:scaling>
          <c:orientation val="minMax"/>
        </c:scaling>
        <c:delete val="0"/>
        <c:axPos val="l"/>
        <c:majorGridlines/>
        <c:numFmt formatCode="0%" sourceLinked="1"/>
        <c:majorTickMark val="none"/>
        <c:minorTickMark val="none"/>
        <c:tickLblPos val="nextTo"/>
        <c:crossAx val="609846008"/>
        <c:crosses val="autoZero"/>
        <c:crossBetween val="between"/>
      </c:valAx>
      <c:spPr>
        <a:solidFill>
          <a:sysClr val="window" lastClr="FFFFFF">
            <a:lumMod val="95000"/>
            <a:alpha val="50000"/>
          </a:sysClr>
        </a:solidFill>
      </c:spPr>
    </c:plotArea>
    <c:legend>
      <c:legendPos val="b"/>
      <c:layout>
        <c:manualLayout>
          <c:xMode val="edge"/>
          <c:yMode val="edge"/>
          <c:x val="0.38052668416448393"/>
          <c:y val="0.90702354913969052"/>
          <c:w val="0.23894663167104244"/>
          <c:h val="8.3717191601050026E-2"/>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33" l="0.70000000000000062" r="0.70000000000000062" t="0.75000000000000333"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Formulas!$BS$99</c:f>
          <c:strCache>
            <c:ptCount val="1"/>
            <c:pt idx="0">
              <c:v>25A. Change in Permanent Housing Exits that "Stick"
Single Adults</c:v>
            </c:pt>
          </c:strCache>
        </c:strRef>
      </c:tx>
      <c:layout>
        <c:manualLayout>
          <c:xMode val="edge"/>
          <c:yMode val="edge"/>
          <c:x val="2.6377952755905954E-4"/>
          <c:y val="0"/>
        </c:manualLayout>
      </c:layout>
      <c:overlay val="0"/>
      <c:txPr>
        <a:bodyPr/>
        <a:lstStyle/>
        <a:p>
          <a:pPr algn="l">
            <a:defRPr sz="1200"/>
          </a:pPr>
          <a:endParaRPr lang="en-US"/>
        </a:p>
      </c:txPr>
    </c:title>
    <c:autoTitleDeleted val="0"/>
    <c:plotArea>
      <c:layout>
        <c:manualLayout>
          <c:layoutTarget val="inner"/>
          <c:xMode val="edge"/>
          <c:yMode val="edge"/>
          <c:x val="8.6071741032370933E-2"/>
          <c:y val="0.20093759113444268"/>
          <c:w val="0.88337270341207352"/>
          <c:h val="0.57814814814814863"/>
        </c:manualLayout>
      </c:layout>
      <c:barChart>
        <c:barDir val="col"/>
        <c:grouping val="clustered"/>
        <c:varyColors val="0"/>
        <c:ser>
          <c:idx val="0"/>
          <c:order val="0"/>
          <c:tx>
            <c:strRef>
              <c:f>Formulas!$BU$97:$BU$98</c:f>
              <c:strCache>
                <c:ptCount val="2"/>
                <c:pt idx="0">
                  <c:v>Current Returns</c:v>
                </c:pt>
              </c:strCache>
            </c:strRef>
          </c:tx>
          <c:spPr>
            <a:solidFill>
              <a:schemeClr val="accent1">
                <a:lumMod val="40000"/>
                <a:lumOff val="60000"/>
              </a:schemeClr>
            </a:solidFill>
          </c:spPr>
          <c:invertIfNegative val="0"/>
          <c:dLbls>
            <c:delete val="1"/>
          </c:dLbls>
          <c:cat>
            <c:strRef>
              <c:f>Formulas!$BT$99:$BT$110</c:f>
              <c:strCache>
                <c:ptCount val="10"/>
                <c:pt idx="0">
                  <c:v>ES</c:v>
                </c:pt>
                <c:pt idx="3">
                  <c:v>TH</c:v>
                </c:pt>
                <c:pt idx="6">
                  <c:v>RR</c:v>
                </c:pt>
                <c:pt idx="9">
                  <c:v>All Programs</c:v>
                </c:pt>
              </c:strCache>
            </c:strRef>
          </c:cat>
          <c:val>
            <c:numRef>
              <c:f>Formulas!$BU$99:$BU$110</c:f>
              <c:numCache>
                <c:formatCode>General</c:formatCode>
                <c:ptCount val="12"/>
                <c:pt idx="0" formatCode="#,##0">
                  <c:v>265</c:v>
                </c:pt>
                <c:pt idx="3" formatCode="#,##0">
                  <c:v>98</c:v>
                </c:pt>
                <c:pt idx="6" formatCode="#,##0">
                  <c:v>112</c:v>
                </c:pt>
                <c:pt idx="9" formatCode="#,##0">
                  <c:v>475</c:v>
                </c:pt>
              </c:numCache>
            </c:numRef>
          </c:val>
        </c:ser>
        <c:ser>
          <c:idx val="2"/>
          <c:order val="2"/>
          <c:tx>
            <c:strRef>
              <c:f>Formulas!$BW$97:$BW$98</c:f>
              <c:strCache>
                <c:ptCount val="2"/>
                <c:pt idx="0">
                  <c:v>New Returns</c:v>
                </c:pt>
              </c:strCache>
            </c:strRef>
          </c:tx>
          <c:spPr>
            <a:solidFill>
              <a:schemeClr val="accent3">
                <a:lumMod val="40000"/>
                <a:lumOff val="60000"/>
              </a:schemeClr>
            </a:solidFill>
          </c:spPr>
          <c:invertIfNegative val="0"/>
          <c:dLbls>
            <c:dLbl>
              <c:idx val="1"/>
              <c:tx>
                <c:strRef>
                  <c:f>Formulas!$BZ$99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{0F13DD62-57B6-4E8F-A443-ABAD166C5DF7}</c15:txfldGUID>
                      <c15:f>Formulas!$BZ$99</c15:f>
                      <c15:dlblFieldTableCache>
                        <c:ptCount val="1"/>
                      </c15:dlblFieldTableCache>
                    </c15:dlblFTEntry>
                  </c15:dlblFieldTable>
                  <c15:showDataLabelsRange val="0"/>
                </c:ext>
              </c:extLst>
            </c:dLbl>
            <c:dLbl>
              <c:idx val="4"/>
              <c:tx>
                <c:strRef>
                  <c:f>Formulas!$BZ$102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{4D3CCD9F-2087-4045-8863-E58DF66800CC}</c15:txfldGUID>
                      <c15:f>Formulas!$BZ$102</c15:f>
                      <c15:dlblFieldTableCache>
                        <c:ptCount val="1"/>
                      </c15:dlblFieldTableCache>
                    </c15:dlblFTEntry>
                  </c15:dlblFieldTable>
                  <c15:showDataLabelsRange val="0"/>
                </c:ext>
              </c:extLst>
            </c:dLbl>
            <c:dLbl>
              <c:idx val="7"/>
              <c:tx>
                <c:strRef>
                  <c:f>Formulas!$BZ$105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{D42DA746-782D-48B6-8B6A-738FD2850EB8}</c15:txfldGUID>
                      <c15:f>Formulas!$BZ$105</c15:f>
                      <c15:dlblFieldTableCache>
                        <c:ptCount val="1"/>
                      </c15:dlblFieldTableCache>
                    </c15:dlblFTEntry>
                  </c15:dlblFieldTable>
                  <c15:showDataLabelsRange val="0"/>
                </c:ext>
              </c:extLst>
            </c:dLbl>
            <c:dLbl>
              <c:idx val="10"/>
              <c:tx>
                <c:strRef>
                  <c:f>Formulas!$BZ$108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{AEB9C606-9048-4CB4-9D35-22F8AD951AE7}</c15:txfldGUID>
                      <c15:f>Formulas!$BZ$108</c15:f>
                      <c15:dlblFieldTableCache>
                        <c:ptCount val="1"/>
                      </c15:dlblFieldTableCache>
                    </c15:dlblFTEntry>
                  </c15:dlblFieldTable>
                  <c15:showDataLabelsRange val="0"/>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Formulas!$BT$99:$BT$110</c:f>
              <c:strCache>
                <c:ptCount val="10"/>
                <c:pt idx="0">
                  <c:v>ES</c:v>
                </c:pt>
                <c:pt idx="3">
                  <c:v>TH</c:v>
                </c:pt>
                <c:pt idx="6">
                  <c:v>RR</c:v>
                </c:pt>
                <c:pt idx="9">
                  <c:v>All Programs</c:v>
                </c:pt>
              </c:strCache>
            </c:strRef>
          </c:cat>
          <c:val>
            <c:numRef>
              <c:f>Formulas!$BW$99:$BW$110</c:f>
              <c:numCache>
                <c:formatCode>#,##0</c:formatCode>
                <c:ptCount val="12"/>
                <c:pt idx="1">
                  <c:v>265</c:v>
                </c:pt>
                <c:pt idx="4">
                  <c:v>97.999999999999986</c:v>
                </c:pt>
                <c:pt idx="7">
                  <c:v>112</c:v>
                </c:pt>
                <c:pt idx="10">
                  <c:v>475</c:v>
                </c:pt>
              </c:numCache>
            </c:numRef>
          </c:val>
        </c:ser>
        <c:dLbls>
          <c:showLegendKey val="0"/>
          <c:showVal val="1"/>
          <c:showCatName val="0"/>
          <c:showSerName val="0"/>
          <c:showPercent val="0"/>
          <c:showBubbleSize val="0"/>
        </c:dLbls>
        <c:gapWidth val="0"/>
        <c:overlap val="100"/>
        <c:axId val="609836992"/>
        <c:axId val="609840912"/>
      </c:barChart>
      <c:barChart>
        <c:barDir val="col"/>
        <c:grouping val="clustered"/>
        <c:varyColors val="0"/>
        <c:ser>
          <c:idx val="1"/>
          <c:order val="1"/>
          <c:tx>
            <c:strRef>
              <c:f>Formulas!$BV$97:$BV$98</c:f>
              <c:strCache>
                <c:ptCount val="2"/>
                <c:pt idx="0">
                  <c:v>Current PH Exits that "Stick"</c:v>
                </c:pt>
              </c:strCache>
            </c:strRef>
          </c:tx>
          <c:spPr>
            <a:solidFill>
              <a:schemeClr val="accent1">
                <a:lumMod val="75000"/>
              </a:schemeClr>
            </a:solidFill>
          </c:spPr>
          <c:invertIfNegative val="0"/>
          <c:cat>
            <c:strRef>
              <c:f>Formulas!$BT$99:$BT$110</c:f>
              <c:strCache>
                <c:ptCount val="10"/>
                <c:pt idx="0">
                  <c:v>ES</c:v>
                </c:pt>
                <c:pt idx="3">
                  <c:v>TH</c:v>
                </c:pt>
                <c:pt idx="6">
                  <c:v>RR</c:v>
                </c:pt>
                <c:pt idx="9">
                  <c:v>All Programs</c:v>
                </c:pt>
              </c:strCache>
            </c:strRef>
          </c:cat>
          <c:val>
            <c:numRef>
              <c:f>Formulas!$BV$99:$BV$110</c:f>
              <c:numCache>
                <c:formatCode>General</c:formatCode>
                <c:ptCount val="12"/>
                <c:pt idx="0" formatCode="#,##0">
                  <c:v>226</c:v>
                </c:pt>
                <c:pt idx="3" formatCode="#,##0">
                  <c:v>91</c:v>
                </c:pt>
                <c:pt idx="6" formatCode="#,##0">
                  <c:v>102</c:v>
                </c:pt>
                <c:pt idx="9" formatCode="#,##0">
                  <c:v>419</c:v>
                </c:pt>
              </c:numCache>
            </c:numRef>
          </c:val>
        </c:ser>
        <c:ser>
          <c:idx val="3"/>
          <c:order val="3"/>
          <c:tx>
            <c:strRef>
              <c:f>Formulas!$BX$97:$BX$98</c:f>
              <c:strCache>
                <c:ptCount val="2"/>
                <c:pt idx="0">
                  <c:v>New PH Exits that "Stick"</c:v>
                </c:pt>
              </c:strCache>
            </c:strRef>
          </c:tx>
          <c:spPr>
            <a:solidFill>
              <a:srgbClr val="9BBB59"/>
            </a:solidFill>
          </c:spPr>
          <c:invertIfNegative val="0"/>
          <c:cat>
            <c:strRef>
              <c:f>Formulas!$BT$99:$BT$110</c:f>
              <c:strCache>
                <c:ptCount val="10"/>
                <c:pt idx="0">
                  <c:v>ES</c:v>
                </c:pt>
                <c:pt idx="3">
                  <c:v>TH</c:v>
                </c:pt>
                <c:pt idx="6">
                  <c:v>RR</c:v>
                </c:pt>
                <c:pt idx="9">
                  <c:v>All Programs</c:v>
                </c:pt>
              </c:strCache>
            </c:strRef>
          </c:cat>
          <c:val>
            <c:numRef>
              <c:f>Formulas!$BX$99:$BX$110</c:f>
              <c:numCache>
                <c:formatCode>#,##0</c:formatCode>
                <c:ptCount val="12"/>
                <c:pt idx="1">
                  <c:v>226</c:v>
                </c:pt>
                <c:pt idx="4">
                  <c:v>90.999999999999986</c:v>
                </c:pt>
                <c:pt idx="7">
                  <c:v>102</c:v>
                </c:pt>
                <c:pt idx="10">
                  <c:v>419</c:v>
                </c:pt>
              </c:numCache>
            </c:numRef>
          </c:val>
        </c:ser>
        <c:dLbls>
          <c:showLegendKey val="0"/>
          <c:showVal val="0"/>
          <c:showCatName val="0"/>
          <c:showSerName val="0"/>
          <c:showPercent val="0"/>
          <c:showBubbleSize val="0"/>
        </c:dLbls>
        <c:gapWidth val="0"/>
        <c:overlap val="100"/>
        <c:axId val="609843656"/>
        <c:axId val="609842872"/>
      </c:barChart>
      <c:catAx>
        <c:axId val="609836992"/>
        <c:scaling>
          <c:orientation val="minMax"/>
        </c:scaling>
        <c:delete val="0"/>
        <c:axPos val="b"/>
        <c:numFmt formatCode="General" sourceLinked="0"/>
        <c:majorTickMark val="out"/>
        <c:minorTickMark val="none"/>
        <c:tickLblPos val="nextTo"/>
        <c:crossAx val="609840912"/>
        <c:crosses val="autoZero"/>
        <c:auto val="1"/>
        <c:lblAlgn val="ctr"/>
        <c:lblOffset val="100"/>
        <c:noMultiLvlLbl val="0"/>
      </c:catAx>
      <c:valAx>
        <c:axId val="609840912"/>
        <c:scaling>
          <c:orientation val="minMax"/>
        </c:scaling>
        <c:delete val="0"/>
        <c:axPos val="l"/>
        <c:majorGridlines/>
        <c:numFmt formatCode="#,##0" sourceLinked="1"/>
        <c:majorTickMark val="out"/>
        <c:minorTickMark val="none"/>
        <c:tickLblPos val="nextTo"/>
        <c:crossAx val="609836992"/>
        <c:crosses val="autoZero"/>
        <c:crossBetween val="between"/>
      </c:valAx>
      <c:valAx>
        <c:axId val="609842872"/>
        <c:scaling>
          <c:orientation val="minMax"/>
        </c:scaling>
        <c:delete val="1"/>
        <c:axPos val="r"/>
        <c:numFmt formatCode="#,##0" sourceLinked="1"/>
        <c:majorTickMark val="out"/>
        <c:minorTickMark val="none"/>
        <c:tickLblPos val="none"/>
        <c:crossAx val="609843656"/>
        <c:crosses val="max"/>
        <c:crossBetween val="between"/>
      </c:valAx>
      <c:catAx>
        <c:axId val="609843656"/>
        <c:scaling>
          <c:orientation val="minMax"/>
        </c:scaling>
        <c:delete val="1"/>
        <c:axPos val="b"/>
        <c:numFmt formatCode="General" sourceLinked="1"/>
        <c:majorTickMark val="out"/>
        <c:minorTickMark val="none"/>
        <c:tickLblPos val="none"/>
        <c:crossAx val="609842872"/>
        <c:crosses val="autoZero"/>
        <c:auto val="1"/>
        <c:lblAlgn val="ctr"/>
        <c:lblOffset val="100"/>
        <c:noMultiLvlLbl val="0"/>
      </c:catAx>
      <c:spPr>
        <a:solidFill>
          <a:srgbClr val="C0504D">
            <a:lumMod val="20000"/>
            <a:lumOff val="80000"/>
            <a:alpha val="50000"/>
          </a:srgbClr>
        </a:solidFill>
      </c:spPr>
    </c:plotArea>
    <c:legend>
      <c:legendPos val="b"/>
      <c:layout>
        <c:manualLayout>
          <c:xMode val="edge"/>
          <c:yMode val="edge"/>
          <c:x val="2.4875328083989821E-3"/>
          <c:y val="0.87654709827938548"/>
          <c:w val="0.75613604549431324"/>
          <c:h val="0.12345290172061826"/>
        </c:manualLayout>
      </c:layout>
      <c:overlay val="0"/>
    </c:legend>
    <c:plotVisOnly val="1"/>
    <c:dispBlanksAs val="gap"/>
    <c:showDLblsOverMax val="0"/>
  </c:chart>
  <c:spPr>
    <a:solidFill>
      <a:srgbClr val="C0504D">
        <a:lumMod val="20000"/>
        <a:lumOff val="80000"/>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1B. Average LOS</a:t>
            </a:r>
          </a:p>
          <a:p>
            <a:pPr>
              <a:defRPr sz="1200"/>
            </a:pPr>
            <a:r>
              <a:rPr lang="en-US" sz="1200"/>
              <a:t>Family Households</a:t>
            </a:r>
          </a:p>
        </c:rich>
      </c:tx>
      <c:layout>
        <c:manualLayout>
          <c:xMode val="edge"/>
          <c:yMode val="edge"/>
          <c:x val="0.39678193314209614"/>
          <c:y val="2.7777688850187603E-2"/>
        </c:manualLayout>
      </c:layout>
      <c:overlay val="0"/>
    </c:title>
    <c:autoTitleDeleted val="0"/>
    <c:plotArea>
      <c:layout/>
      <c:barChart>
        <c:barDir val="col"/>
        <c:grouping val="clustered"/>
        <c:varyColors val="0"/>
        <c:ser>
          <c:idx val="0"/>
          <c:order val="0"/>
          <c:tx>
            <c:strRef>
              <c:f>Formulas!$CJ$3</c:f>
              <c:strCache>
                <c:ptCount val="1"/>
                <c:pt idx="0">
                  <c:v>Average LOS - Family HHs</c:v>
                </c:pt>
              </c:strCache>
            </c:strRef>
          </c:tx>
          <c:invertIfNegative val="0"/>
          <c:dLbls>
            <c:spPr>
              <a:noFill/>
              <a:ln>
                <a:noFill/>
              </a:ln>
              <a:effectLst/>
            </c:spPr>
            <c:txPr>
              <a:bodyPr/>
              <a:lstStyle/>
              <a:p>
                <a:pPr>
                  <a:defRPr sz="16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Formulas!$CH$4:$CH$6</c:f>
              <c:strCache>
                <c:ptCount val="3"/>
                <c:pt idx="0">
                  <c:v>Emergency Shelters</c:v>
                </c:pt>
                <c:pt idx="1">
                  <c:v>Transitional Housing</c:v>
                </c:pt>
                <c:pt idx="2">
                  <c:v>Rapid Re-Housing</c:v>
                </c:pt>
              </c:strCache>
            </c:strRef>
          </c:cat>
          <c:val>
            <c:numRef>
              <c:f>Formulas!$CJ$4:$CJ$6</c:f>
              <c:numCache>
                <c:formatCode>#,##0</c:formatCode>
                <c:ptCount val="3"/>
                <c:pt idx="0">
                  <c:v>76.395348837209298</c:v>
                </c:pt>
                <c:pt idx="1">
                  <c:v>307.36842105263156</c:v>
                </c:pt>
                <c:pt idx="2">
                  <c:v>99.545454545454547</c:v>
                </c:pt>
              </c:numCache>
            </c:numRef>
          </c:val>
        </c:ser>
        <c:dLbls>
          <c:showLegendKey val="0"/>
          <c:showVal val="1"/>
          <c:showCatName val="0"/>
          <c:showSerName val="0"/>
          <c:showPercent val="0"/>
          <c:showBubbleSize val="0"/>
        </c:dLbls>
        <c:gapWidth val="75"/>
        <c:overlap val="-25"/>
        <c:axId val="605472304"/>
        <c:axId val="605471520"/>
      </c:barChart>
      <c:catAx>
        <c:axId val="605472304"/>
        <c:scaling>
          <c:orientation val="minMax"/>
        </c:scaling>
        <c:delete val="0"/>
        <c:axPos val="b"/>
        <c:numFmt formatCode="General" sourceLinked="0"/>
        <c:majorTickMark val="none"/>
        <c:minorTickMark val="none"/>
        <c:tickLblPos val="nextTo"/>
        <c:crossAx val="605471520"/>
        <c:crosses val="autoZero"/>
        <c:auto val="1"/>
        <c:lblAlgn val="ctr"/>
        <c:lblOffset val="100"/>
        <c:noMultiLvlLbl val="0"/>
      </c:catAx>
      <c:valAx>
        <c:axId val="605471520"/>
        <c:scaling>
          <c:orientation val="minMax"/>
        </c:scaling>
        <c:delete val="0"/>
        <c:axPos val="l"/>
        <c:majorGridlines/>
        <c:numFmt formatCode="#,##0" sourceLinked="1"/>
        <c:majorTickMark val="none"/>
        <c:minorTickMark val="none"/>
        <c:tickLblPos val="nextTo"/>
        <c:spPr>
          <a:ln w="9525">
            <a:noFill/>
          </a:ln>
        </c:spPr>
        <c:crossAx val="605472304"/>
        <c:crosses val="autoZero"/>
        <c:crossBetween val="between"/>
      </c:valAx>
      <c:spPr>
        <a:solidFill>
          <a:srgbClr val="FFFF99">
            <a:alpha val="25000"/>
          </a:srgbClr>
        </a:solidFill>
      </c:spPr>
    </c:plotArea>
    <c:plotVisOnly val="1"/>
    <c:dispBlanksAs val="gap"/>
    <c:showDLblsOverMax val="0"/>
  </c:chart>
  <c:spPr>
    <a:solidFill>
      <a:srgbClr val="FFFF99">
        <a:alpha val="25000"/>
      </a:srgbClr>
    </a:solidFill>
  </c:spPr>
  <c:printSettings>
    <c:headerFooter/>
    <c:pageMargins b="0.75000000000000189" l="0.70000000000000062" r="0.70000000000000062" t="0.75000000000000189"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Formulas!$BS$114</c:f>
          <c:strCache>
            <c:ptCount val="1"/>
            <c:pt idx="0">
              <c:v>25B. Change in Permanent Housing Exits that "Stick"
Family Households</c:v>
            </c:pt>
          </c:strCache>
        </c:strRef>
      </c:tx>
      <c:layout>
        <c:manualLayout>
          <c:xMode val="edge"/>
          <c:yMode val="edge"/>
          <c:x val="1.1666666666666802E-3"/>
          <c:y val="4.6296296296296632E-3"/>
        </c:manualLayout>
      </c:layout>
      <c:overlay val="0"/>
      <c:txPr>
        <a:bodyPr/>
        <a:lstStyle/>
        <a:p>
          <a:pPr algn="l">
            <a:defRPr sz="1200"/>
          </a:pPr>
          <a:endParaRPr lang="en-US"/>
        </a:p>
      </c:txPr>
    </c:title>
    <c:autoTitleDeleted val="0"/>
    <c:plotArea>
      <c:layout>
        <c:manualLayout>
          <c:layoutTarget val="inner"/>
          <c:xMode val="edge"/>
          <c:yMode val="edge"/>
          <c:x val="8.6071741032370933E-2"/>
          <c:y val="0.19575240594925633"/>
          <c:w val="0.86396762904636926"/>
          <c:h val="0.56018518518518523"/>
        </c:manualLayout>
      </c:layout>
      <c:barChart>
        <c:barDir val="col"/>
        <c:grouping val="clustered"/>
        <c:varyColors val="0"/>
        <c:ser>
          <c:idx val="0"/>
          <c:order val="0"/>
          <c:tx>
            <c:strRef>
              <c:f>Formulas!$BU$112:$BU$113</c:f>
              <c:strCache>
                <c:ptCount val="2"/>
                <c:pt idx="0">
                  <c:v>Current Returns</c:v>
                </c:pt>
              </c:strCache>
            </c:strRef>
          </c:tx>
          <c:spPr>
            <a:solidFill>
              <a:schemeClr val="accent1">
                <a:lumMod val="40000"/>
                <a:lumOff val="60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Formulas!$BU$114:$BU$125</c:f>
              <c:numCache>
                <c:formatCode>General</c:formatCode>
                <c:ptCount val="12"/>
                <c:pt idx="0" formatCode="#,##0">
                  <c:v>137</c:v>
                </c:pt>
                <c:pt idx="3" formatCode="#,##0">
                  <c:v>158</c:v>
                </c:pt>
                <c:pt idx="6" formatCode="#,##0">
                  <c:v>235</c:v>
                </c:pt>
                <c:pt idx="9" formatCode="#,##0">
                  <c:v>530</c:v>
                </c:pt>
              </c:numCache>
            </c:numRef>
          </c:val>
        </c:ser>
        <c:ser>
          <c:idx val="1"/>
          <c:order val="1"/>
          <c:tx>
            <c:strRef>
              <c:f>Formulas!$BV$112:$BV$113</c:f>
              <c:strCache>
                <c:ptCount val="2"/>
                <c:pt idx="0">
                  <c:v>Current PH Exits that "Stick"</c:v>
                </c:pt>
              </c:strCache>
            </c:strRef>
          </c:tx>
          <c:spPr>
            <a:solidFill>
              <a:schemeClr val="accent1">
                <a:lumMod val="75000"/>
              </a:schemeClr>
            </a:solidFill>
          </c:spPr>
          <c:invertIfNegative val="0"/>
          <c:dLbls>
            <c:delete val="1"/>
          </c:dLbls>
          <c:cat>
            <c:strRef>
              <c:f>Formulas!$BT$114:$BT$125</c:f>
              <c:strCache>
                <c:ptCount val="10"/>
                <c:pt idx="0">
                  <c:v>ES</c:v>
                </c:pt>
                <c:pt idx="3">
                  <c:v>TH</c:v>
                </c:pt>
                <c:pt idx="6">
                  <c:v>RR</c:v>
                </c:pt>
                <c:pt idx="9">
                  <c:v>All Programs</c:v>
                </c:pt>
              </c:strCache>
            </c:strRef>
          </c:cat>
          <c:val>
            <c:numRef>
              <c:f>Formulas!$BV$114:$BV$125</c:f>
              <c:numCache>
                <c:formatCode>General</c:formatCode>
                <c:ptCount val="12"/>
                <c:pt idx="0" formatCode="#,##0">
                  <c:v>122</c:v>
                </c:pt>
                <c:pt idx="3" formatCode="#,##0">
                  <c:v>144</c:v>
                </c:pt>
                <c:pt idx="6" formatCode="#,##0">
                  <c:v>226</c:v>
                </c:pt>
                <c:pt idx="9" formatCode="#,##0">
                  <c:v>492</c:v>
                </c:pt>
              </c:numCache>
            </c:numRef>
          </c:val>
        </c:ser>
        <c:ser>
          <c:idx val="2"/>
          <c:order val="2"/>
          <c:tx>
            <c:strRef>
              <c:f>Formulas!$BW$112:$BW$113</c:f>
              <c:strCache>
                <c:ptCount val="2"/>
                <c:pt idx="0">
                  <c:v>New Returns</c:v>
                </c:pt>
              </c:strCache>
            </c:strRef>
          </c:tx>
          <c:spPr>
            <a:solidFill>
              <a:schemeClr val="accent3">
                <a:lumMod val="40000"/>
                <a:lumOff val="60000"/>
              </a:schemeClr>
            </a:solidFill>
          </c:spPr>
          <c:invertIfNegative val="0"/>
          <c:dLbls>
            <c:dLbl>
              <c:idx val="1"/>
              <c:tx>
                <c:strRef>
                  <c:f>Formulas!$BZ$114</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{88EB1D95-86F8-46CE-9F0C-62F9898534C5}</c15:txfldGUID>
                      <c15:f>Formulas!$BZ$114</c15:f>
                      <c15:dlblFieldTableCache>
                        <c:ptCount val="1"/>
                      </c15:dlblFieldTableCache>
                    </c15:dlblFTEntry>
                  </c15:dlblFieldTable>
                  <c15:showDataLabelsRange val="0"/>
                </c:ext>
              </c:extLst>
            </c:dLbl>
            <c:dLbl>
              <c:idx val="4"/>
              <c:tx>
                <c:strRef>
                  <c:f>Formulas!$BZ$120</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{F10A6F3A-3DDB-42CB-843F-8BCB8B3D1A2C}</c15:txfldGUID>
                      <c15:f>Formulas!$BZ$120</c15:f>
                      <c15:dlblFieldTableCache>
                        <c:ptCount val="1"/>
                      </c15:dlblFieldTableCache>
                    </c15:dlblFTEntry>
                  </c15:dlblFieldTable>
                  <c15:showDataLabelsRange val="0"/>
                </c:ext>
              </c:extLst>
            </c:dLbl>
            <c:dLbl>
              <c:idx val="7"/>
              <c:tx>
                <c:strRef>
                  <c:f>Formulas!$BZ$117</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{C99838D8-6E99-4566-B88B-EFA684005EE4}</c15:txfldGUID>
                      <c15:f>Formulas!$BZ$117</c15:f>
                      <c15:dlblFieldTableCache>
                        <c:ptCount val="1"/>
                      </c15:dlblFieldTableCache>
                    </c15:dlblFTEntry>
                  </c15:dlblFieldTable>
                  <c15:showDataLabelsRange val="0"/>
                </c:ext>
              </c:extLst>
            </c:dLbl>
            <c:dLbl>
              <c:idx val="10"/>
              <c:tx>
                <c:strRef>
                  <c:f>Formulas!$BZ$123</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{88B0816D-C55A-4DF0-8DF5-58E8C159F108}</c15:txfldGUID>
                      <c15:f>Formulas!$BZ$123</c15:f>
                      <c15:dlblFieldTableCache>
                        <c:ptCount val="1"/>
                      </c15:dlblFieldTableCache>
                    </c15:dlblFTEntry>
                  </c15:dlblFieldTable>
                  <c15:showDataLabelsRange val="0"/>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Formulas!$BT$114:$BT$125</c:f>
              <c:strCache>
                <c:ptCount val="10"/>
                <c:pt idx="0">
                  <c:v>ES</c:v>
                </c:pt>
                <c:pt idx="3">
                  <c:v>TH</c:v>
                </c:pt>
                <c:pt idx="6">
                  <c:v>RR</c:v>
                </c:pt>
                <c:pt idx="9">
                  <c:v>All Programs</c:v>
                </c:pt>
              </c:strCache>
            </c:strRef>
          </c:cat>
          <c:val>
            <c:numRef>
              <c:f>Formulas!$BW$114:$BW$125</c:f>
              <c:numCache>
                <c:formatCode>#,##0</c:formatCode>
                <c:ptCount val="12"/>
                <c:pt idx="1">
                  <c:v>136.99999999999997</c:v>
                </c:pt>
                <c:pt idx="4">
                  <c:v>158.00000000000003</c:v>
                </c:pt>
                <c:pt idx="7">
                  <c:v>235</c:v>
                </c:pt>
                <c:pt idx="10">
                  <c:v>530</c:v>
                </c:pt>
              </c:numCache>
            </c:numRef>
          </c:val>
        </c:ser>
        <c:dLbls>
          <c:showLegendKey val="0"/>
          <c:showVal val="1"/>
          <c:showCatName val="0"/>
          <c:showSerName val="0"/>
          <c:showPercent val="0"/>
          <c:showBubbleSize val="0"/>
        </c:dLbls>
        <c:gapWidth val="0"/>
        <c:overlap val="100"/>
        <c:axId val="609840520"/>
        <c:axId val="609836600"/>
      </c:barChart>
      <c:barChart>
        <c:barDir val="col"/>
        <c:grouping val="clustered"/>
        <c:varyColors val="0"/>
        <c:ser>
          <c:idx val="3"/>
          <c:order val="3"/>
          <c:tx>
            <c:strRef>
              <c:f>Formulas!$BX$112:$BX$113</c:f>
              <c:strCache>
                <c:ptCount val="2"/>
                <c:pt idx="0">
                  <c:v>New PH Exits that "Stick"</c:v>
                </c:pt>
              </c:strCache>
            </c:strRef>
          </c:tx>
          <c:spPr>
            <a:solidFill>
              <a:schemeClr val="accent3"/>
            </a:solidFill>
          </c:spPr>
          <c:invertIfNegative val="0"/>
          <c:cat>
            <c:strRef>
              <c:f>Formulas!$BT$114:$BT$125</c:f>
              <c:strCache>
                <c:ptCount val="10"/>
                <c:pt idx="0">
                  <c:v>ES</c:v>
                </c:pt>
                <c:pt idx="3">
                  <c:v>TH</c:v>
                </c:pt>
                <c:pt idx="6">
                  <c:v>RR</c:v>
                </c:pt>
                <c:pt idx="9">
                  <c:v>All Programs</c:v>
                </c:pt>
              </c:strCache>
            </c:strRef>
          </c:cat>
          <c:val>
            <c:numRef>
              <c:f>Formulas!$BX$114:$BX$125</c:f>
              <c:numCache>
                <c:formatCode>#,##0</c:formatCode>
                <c:ptCount val="12"/>
                <c:pt idx="1">
                  <c:v>121.99999999999997</c:v>
                </c:pt>
                <c:pt idx="4">
                  <c:v>144.00000000000003</c:v>
                </c:pt>
                <c:pt idx="7">
                  <c:v>226</c:v>
                </c:pt>
                <c:pt idx="10">
                  <c:v>492</c:v>
                </c:pt>
              </c:numCache>
            </c:numRef>
          </c:val>
        </c:ser>
        <c:dLbls>
          <c:showLegendKey val="0"/>
          <c:showVal val="0"/>
          <c:showCatName val="0"/>
          <c:showSerName val="0"/>
          <c:showPercent val="0"/>
          <c:showBubbleSize val="0"/>
        </c:dLbls>
        <c:gapWidth val="0"/>
        <c:overlap val="100"/>
        <c:axId val="609846400"/>
        <c:axId val="609837384"/>
      </c:barChart>
      <c:catAx>
        <c:axId val="609840520"/>
        <c:scaling>
          <c:orientation val="minMax"/>
        </c:scaling>
        <c:delete val="0"/>
        <c:axPos val="b"/>
        <c:numFmt formatCode="General" sourceLinked="0"/>
        <c:majorTickMark val="none"/>
        <c:minorTickMark val="none"/>
        <c:tickLblPos val="nextTo"/>
        <c:crossAx val="609836600"/>
        <c:crosses val="autoZero"/>
        <c:auto val="1"/>
        <c:lblAlgn val="ctr"/>
        <c:lblOffset val="100"/>
        <c:noMultiLvlLbl val="0"/>
      </c:catAx>
      <c:valAx>
        <c:axId val="609836600"/>
        <c:scaling>
          <c:orientation val="minMax"/>
        </c:scaling>
        <c:delete val="0"/>
        <c:axPos val="l"/>
        <c:majorGridlines/>
        <c:numFmt formatCode="#,##0" sourceLinked="1"/>
        <c:majorTickMark val="none"/>
        <c:minorTickMark val="none"/>
        <c:tickLblPos val="nextTo"/>
        <c:spPr>
          <a:ln w="9525">
            <a:noFill/>
          </a:ln>
        </c:spPr>
        <c:crossAx val="609840520"/>
        <c:crosses val="autoZero"/>
        <c:crossBetween val="between"/>
      </c:valAx>
      <c:valAx>
        <c:axId val="609837384"/>
        <c:scaling>
          <c:orientation val="minMax"/>
        </c:scaling>
        <c:delete val="1"/>
        <c:axPos val="r"/>
        <c:numFmt formatCode="General" sourceLinked="1"/>
        <c:majorTickMark val="out"/>
        <c:minorTickMark val="none"/>
        <c:tickLblPos val="none"/>
        <c:crossAx val="609846400"/>
        <c:crosses val="max"/>
        <c:crossBetween val="between"/>
      </c:valAx>
      <c:catAx>
        <c:axId val="609846400"/>
        <c:scaling>
          <c:orientation val="minMax"/>
        </c:scaling>
        <c:delete val="1"/>
        <c:axPos val="b"/>
        <c:numFmt formatCode="General" sourceLinked="1"/>
        <c:majorTickMark val="out"/>
        <c:minorTickMark val="none"/>
        <c:tickLblPos val="none"/>
        <c:crossAx val="609837384"/>
        <c:crosses val="autoZero"/>
        <c:auto val="1"/>
        <c:lblAlgn val="ctr"/>
        <c:lblOffset val="100"/>
        <c:noMultiLvlLbl val="0"/>
      </c:catAx>
      <c:spPr>
        <a:solidFill>
          <a:srgbClr val="FFFFCC">
            <a:alpha val="50000"/>
          </a:srgbClr>
        </a:solidFill>
      </c:spPr>
    </c:plotArea>
    <c:legend>
      <c:legendPos val="b"/>
      <c:layout>
        <c:manualLayout>
          <c:xMode val="edge"/>
          <c:yMode val="edge"/>
          <c:x val="2.487532808398986E-3"/>
          <c:y val="0.86265820939049831"/>
          <c:w val="0.71724715660542815"/>
          <c:h val="0.13734179060950716"/>
        </c:manualLayout>
      </c:layout>
      <c:overlay val="0"/>
    </c:legend>
    <c:plotVisOnly val="1"/>
    <c:dispBlanksAs val="gap"/>
    <c:showDLblsOverMax val="0"/>
  </c:chart>
  <c:spPr>
    <a:solidFill>
      <a:srgbClr val="FFFF99">
        <a:alpha val="50000"/>
      </a:srgbClr>
    </a:solidFill>
  </c:spPr>
  <c:printSettings>
    <c:headerFooter/>
    <c:pageMargins b="0.75000000000000333" l="0.70000000000000062" r="0.70000000000000062" t="0.75000000000000333"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Formulas!$BS$129</c:f>
          <c:strCache>
            <c:ptCount val="1"/>
            <c:pt idx="0">
              <c:v>25C. Change in Permanent Housing Exits that "Stick"
All Households</c:v>
            </c:pt>
          </c:strCache>
        </c:strRef>
      </c:tx>
      <c:layout>
        <c:manualLayout>
          <c:xMode val="edge"/>
          <c:yMode val="edge"/>
          <c:x val="3.9444444444444492E-3"/>
          <c:y val="4.6296296296296632E-3"/>
        </c:manualLayout>
      </c:layout>
      <c:overlay val="0"/>
      <c:txPr>
        <a:bodyPr/>
        <a:lstStyle/>
        <a:p>
          <a:pPr algn="l">
            <a:defRPr sz="1200"/>
          </a:pPr>
          <a:endParaRPr lang="en-US"/>
        </a:p>
      </c:txPr>
    </c:title>
    <c:autoTitleDeleted val="0"/>
    <c:plotArea>
      <c:layout>
        <c:manualLayout>
          <c:layoutTarget val="inner"/>
          <c:xMode val="edge"/>
          <c:yMode val="edge"/>
          <c:x val="0.10015507436570428"/>
          <c:y val="0.22353018372703512"/>
          <c:w val="0.86928937007874063"/>
          <c:h val="0.55555555555555569"/>
        </c:manualLayout>
      </c:layout>
      <c:barChart>
        <c:barDir val="col"/>
        <c:grouping val="clustered"/>
        <c:varyColors val="0"/>
        <c:ser>
          <c:idx val="1"/>
          <c:order val="0"/>
          <c:tx>
            <c:strRef>
              <c:f>Formulas!$BU$127</c:f>
              <c:strCache>
                <c:ptCount val="1"/>
                <c:pt idx="0">
                  <c:v>Current Returns</c:v>
                </c:pt>
              </c:strCache>
            </c:strRef>
          </c:tx>
          <c:spPr>
            <a:solidFill>
              <a:schemeClr val="accent1">
                <a:lumMod val="40000"/>
                <a:lumOff val="60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Formulas!$BU$128:$BU$140</c:f>
              <c:numCache>
                <c:formatCode>#,##0</c:formatCode>
                <c:ptCount val="13"/>
                <c:pt idx="1">
                  <c:v>402</c:v>
                </c:pt>
                <c:pt idx="4">
                  <c:v>256</c:v>
                </c:pt>
                <c:pt idx="7">
                  <c:v>347</c:v>
                </c:pt>
                <c:pt idx="10">
                  <c:v>1005</c:v>
                </c:pt>
              </c:numCache>
            </c:numRef>
          </c:val>
        </c:ser>
        <c:ser>
          <c:idx val="2"/>
          <c:order val="1"/>
          <c:tx>
            <c:strRef>
              <c:f>Formulas!$BV$127</c:f>
              <c:strCache>
                <c:ptCount val="1"/>
                <c:pt idx="0">
                  <c:v>Current PH Exits that "Stick"</c:v>
                </c:pt>
              </c:strCache>
            </c:strRef>
          </c:tx>
          <c:spPr>
            <a:solidFill>
              <a:schemeClr val="accent1">
                <a:lumMod val="75000"/>
              </a:schemeClr>
            </a:solidFill>
          </c:spPr>
          <c:invertIfNegative val="0"/>
          <c:dLbls>
            <c:delete val="1"/>
          </c:dLbls>
          <c:cat>
            <c:strRef>
              <c:f>Formulas!$BT$128:$BT$140</c:f>
              <c:strCache>
                <c:ptCount val="11"/>
                <c:pt idx="1">
                  <c:v>ES</c:v>
                </c:pt>
                <c:pt idx="4">
                  <c:v>TH</c:v>
                </c:pt>
                <c:pt idx="7">
                  <c:v>RR</c:v>
                </c:pt>
                <c:pt idx="10">
                  <c:v>All Programs</c:v>
                </c:pt>
              </c:strCache>
            </c:strRef>
          </c:cat>
          <c:val>
            <c:numRef>
              <c:f>Formulas!$BV$128:$BV$140</c:f>
              <c:numCache>
                <c:formatCode>#,##0</c:formatCode>
                <c:ptCount val="13"/>
                <c:pt idx="1">
                  <c:v>348</c:v>
                </c:pt>
                <c:pt idx="4">
                  <c:v>235</c:v>
                </c:pt>
                <c:pt idx="7">
                  <c:v>328</c:v>
                </c:pt>
                <c:pt idx="10">
                  <c:v>911</c:v>
                </c:pt>
              </c:numCache>
            </c:numRef>
          </c:val>
        </c:ser>
        <c:ser>
          <c:idx val="3"/>
          <c:order val="2"/>
          <c:tx>
            <c:strRef>
              <c:f>Formulas!$BW$127</c:f>
              <c:strCache>
                <c:ptCount val="1"/>
                <c:pt idx="0">
                  <c:v>New Returns</c:v>
                </c:pt>
              </c:strCache>
            </c:strRef>
          </c:tx>
          <c:spPr>
            <a:solidFill>
              <a:schemeClr val="accent3">
                <a:lumMod val="40000"/>
                <a:lumOff val="60000"/>
              </a:schemeClr>
            </a:solidFill>
          </c:spPr>
          <c:invertIfNegative val="0"/>
          <c:dLbls>
            <c:dLbl>
              <c:idx val="2"/>
              <c:tx>
                <c:strRef>
                  <c:f>Formulas!$BZ$129</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{84E9F2F1-E46F-4DFC-BB28-7A05949AFD64}</c15:txfldGUID>
                      <c15:f>Formulas!$BZ$129</c15:f>
                      <c15:dlblFieldTableCache>
                        <c:ptCount val="1"/>
                      </c15:dlblFieldTableCache>
                    </c15:dlblFTEntry>
                  </c15:dlblFieldTable>
                  <c15:showDataLabelsRange val="0"/>
                </c:ext>
              </c:extLst>
            </c:dLbl>
            <c:dLbl>
              <c:idx val="5"/>
              <c:tx>
                <c:strRef>
                  <c:f>Formulas!$BZ$132</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{A03EF9C1-D5E7-4154-8044-2A8C9C73075E}</c15:txfldGUID>
                      <c15:f>Formulas!$BZ$132</c15:f>
                      <c15:dlblFieldTableCache>
                        <c:ptCount val="1"/>
                      </c15:dlblFieldTableCache>
                    </c15:dlblFTEntry>
                  </c15:dlblFieldTable>
                  <c15:showDataLabelsRange val="0"/>
                </c:ext>
              </c:extLst>
            </c:dLbl>
            <c:dLbl>
              <c:idx val="8"/>
              <c:tx>
                <c:strRef>
                  <c:f>Formulas!$BZ$135</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{5F6E57B4-278A-411D-8F77-B4D488893273}</c15:txfldGUID>
                      <c15:f>Formulas!$BZ$135</c15:f>
                      <c15:dlblFieldTableCache>
                        <c:ptCount val="1"/>
                      </c15:dlblFieldTableCache>
                    </c15:dlblFTEntry>
                  </c15:dlblFieldTable>
                  <c15:showDataLabelsRange val="0"/>
                </c:ext>
              </c:extLst>
            </c:dLbl>
            <c:dLbl>
              <c:idx val="11"/>
              <c:tx>
                <c:strRef>
                  <c:f>Formulas!$BZ$138</c:f>
                  <c:strCache>
                    <c:ptCount val="1"/>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{153202C3-E7C8-4E70-AC81-2CA9D0645C05}</c15:txfldGUID>
                      <c15:f>Formulas!$BZ$138</c15:f>
                      <c15:dlblFieldTableCache>
                        <c:ptCount val="1"/>
                      </c15:dlblFieldTableCache>
                    </c15:dlblFTEntry>
                  </c15:dlblFieldTable>
                  <c15:showDataLabelsRange val="0"/>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Formulas!$BT$128:$BT$140</c:f>
              <c:strCache>
                <c:ptCount val="11"/>
                <c:pt idx="1">
                  <c:v>ES</c:v>
                </c:pt>
                <c:pt idx="4">
                  <c:v>TH</c:v>
                </c:pt>
                <c:pt idx="7">
                  <c:v>RR</c:v>
                </c:pt>
                <c:pt idx="10">
                  <c:v>All Programs</c:v>
                </c:pt>
              </c:strCache>
            </c:strRef>
          </c:cat>
          <c:val>
            <c:numRef>
              <c:f>Formulas!$BW$128:$BW$140</c:f>
              <c:numCache>
                <c:formatCode>General</c:formatCode>
                <c:ptCount val="13"/>
                <c:pt idx="2" formatCode="#,##0">
                  <c:v>402</c:v>
                </c:pt>
                <c:pt idx="5" formatCode="#,##0">
                  <c:v>256</c:v>
                </c:pt>
                <c:pt idx="8" formatCode="#,##0">
                  <c:v>347</c:v>
                </c:pt>
                <c:pt idx="11" formatCode="#,##0">
                  <c:v>1005</c:v>
                </c:pt>
              </c:numCache>
            </c:numRef>
          </c:val>
        </c:ser>
        <c:dLbls>
          <c:showLegendKey val="0"/>
          <c:showVal val="1"/>
          <c:showCatName val="0"/>
          <c:showSerName val="0"/>
          <c:showPercent val="0"/>
          <c:showBubbleSize val="0"/>
        </c:dLbls>
        <c:gapWidth val="0"/>
        <c:overlap val="100"/>
        <c:axId val="609844440"/>
        <c:axId val="609842480"/>
      </c:barChart>
      <c:barChart>
        <c:barDir val="col"/>
        <c:grouping val="clustered"/>
        <c:varyColors val="0"/>
        <c:ser>
          <c:idx val="4"/>
          <c:order val="3"/>
          <c:tx>
            <c:strRef>
              <c:f>Formulas!$BX$127</c:f>
              <c:strCache>
                <c:ptCount val="1"/>
                <c:pt idx="0">
                  <c:v>New PH Exits that "Stick"</c:v>
                </c:pt>
              </c:strCache>
            </c:strRef>
          </c:tx>
          <c:spPr>
            <a:solidFill>
              <a:schemeClr val="accent3"/>
            </a:solidFill>
          </c:spPr>
          <c:invertIfNegative val="0"/>
          <c:cat>
            <c:strRef>
              <c:f>Formulas!$BT$128:$BT$140</c:f>
              <c:strCache>
                <c:ptCount val="11"/>
                <c:pt idx="1">
                  <c:v>ES</c:v>
                </c:pt>
                <c:pt idx="4">
                  <c:v>TH</c:v>
                </c:pt>
                <c:pt idx="7">
                  <c:v>RR</c:v>
                </c:pt>
                <c:pt idx="10">
                  <c:v>All Programs</c:v>
                </c:pt>
              </c:strCache>
            </c:strRef>
          </c:cat>
          <c:val>
            <c:numRef>
              <c:f>Formulas!$BX$128:$BX$140</c:f>
              <c:numCache>
                <c:formatCode>General</c:formatCode>
                <c:ptCount val="13"/>
                <c:pt idx="2" formatCode="#,##0">
                  <c:v>348</c:v>
                </c:pt>
                <c:pt idx="5" formatCode="#,##0">
                  <c:v>235</c:v>
                </c:pt>
                <c:pt idx="8" formatCode="#,##0">
                  <c:v>328</c:v>
                </c:pt>
                <c:pt idx="11" formatCode="#,##0">
                  <c:v>911</c:v>
                </c:pt>
              </c:numCache>
            </c:numRef>
          </c:val>
        </c:ser>
        <c:dLbls>
          <c:showLegendKey val="0"/>
          <c:showVal val="0"/>
          <c:showCatName val="0"/>
          <c:showSerName val="0"/>
          <c:showPercent val="0"/>
          <c:showBubbleSize val="0"/>
        </c:dLbls>
        <c:gapWidth val="0"/>
        <c:overlap val="100"/>
        <c:axId val="609837776"/>
        <c:axId val="609843264"/>
      </c:barChart>
      <c:catAx>
        <c:axId val="609844440"/>
        <c:scaling>
          <c:orientation val="minMax"/>
        </c:scaling>
        <c:delete val="0"/>
        <c:axPos val="b"/>
        <c:numFmt formatCode="General" sourceLinked="0"/>
        <c:majorTickMark val="none"/>
        <c:minorTickMark val="none"/>
        <c:tickLblPos val="nextTo"/>
        <c:crossAx val="609842480"/>
        <c:crosses val="autoZero"/>
        <c:auto val="1"/>
        <c:lblAlgn val="ctr"/>
        <c:lblOffset val="100"/>
        <c:noMultiLvlLbl val="0"/>
      </c:catAx>
      <c:valAx>
        <c:axId val="609842480"/>
        <c:scaling>
          <c:orientation val="minMax"/>
        </c:scaling>
        <c:delete val="0"/>
        <c:axPos val="l"/>
        <c:majorGridlines/>
        <c:numFmt formatCode="General" sourceLinked="1"/>
        <c:majorTickMark val="none"/>
        <c:minorTickMark val="none"/>
        <c:tickLblPos val="nextTo"/>
        <c:spPr>
          <a:ln w="9525">
            <a:noFill/>
          </a:ln>
        </c:spPr>
        <c:crossAx val="609844440"/>
        <c:crosses val="autoZero"/>
        <c:crossBetween val="between"/>
      </c:valAx>
      <c:valAx>
        <c:axId val="609843264"/>
        <c:scaling>
          <c:orientation val="minMax"/>
        </c:scaling>
        <c:delete val="1"/>
        <c:axPos val="r"/>
        <c:numFmt formatCode="General" sourceLinked="1"/>
        <c:majorTickMark val="out"/>
        <c:minorTickMark val="none"/>
        <c:tickLblPos val="none"/>
        <c:crossAx val="609837776"/>
        <c:crosses val="max"/>
        <c:crossBetween val="between"/>
      </c:valAx>
      <c:catAx>
        <c:axId val="609837776"/>
        <c:scaling>
          <c:orientation val="minMax"/>
        </c:scaling>
        <c:delete val="1"/>
        <c:axPos val="b"/>
        <c:numFmt formatCode="General" sourceLinked="1"/>
        <c:majorTickMark val="out"/>
        <c:minorTickMark val="none"/>
        <c:tickLblPos val="none"/>
        <c:crossAx val="609843264"/>
        <c:crosses val="autoZero"/>
        <c:auto val="1"/>
        <c:lblAlgn val="ctr"/>
        <c:lblOffset val="100"/>
        <c:noMultiLvlLbl val="0"/>
      </c:catAx>
      <c:spPr>
        <a:solidFill>
          <a:sysClr val="window" lastClr="FFFFFF">
            <a:lumMod val="95000"/>
            <a:alpha val="50000"/>
          </a:sysClr>
        </a:solidFill>
      </c:spPr>
    </c:plotArea>
    <c:legend>
      <c:legendPos val="b"/>
      <c:layout>
        <c:manualLayout>
          <c:xMode val="edge"/>
          <c:yMode val="edge"/>
          <c:x val="2.487532808398986E-3"/>
          <c:y val="0.86728783902012263"/>
          <c:w val="0.70891382327209163"/>
          <c:h val="0.13271216097987751"/>
        </c:manualLayout>
      </c:layout>
      <c:overlay val="0"/>
    </c:legend>
    <c:plotVisOnly val="1"/>
    <c:dispBlanksAs val="gap"/>
    <c:showDLblsOverMax val="0"/>
  </c:chart>
  <c:spPr>
    <a:solidFill>
      <a:sysClr val="window" lastClr="FFFFFF">
        <a:lumMod val="95000"/>
        <a:alpha val="50000"/>
      </a:sysClr>
    </a:solidFill>
  </c:spPr>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200"/>
            </a:pPr>
            <a:r>
              <a:rPr lang="en-US" sz="1200"/>
              <a:t>1C. Average LOS</a:t>
            </a:r>
          </a:p>
          <a:p>
            <a:pPr>
              <a:defRPr sz="1200"/>
            </a:pPr>
            <a:r>
              <a:rPr lang="en-US" sz="1200"/>
              <a:t>All </a:t>
            </a:r>
            <a:r>
              <a:rPr lang="en-US" sz="1200" baseline="0"/>
              <a:t> Households</a:t>
            </a:r>
            <a:endParaRPr lang="en-US" sz="1200"/>
          </a:p>
        </c:rich>
      </c:tx>
      <c:overlay val="0"/>
    </c:title>
    <c:autoTitleDeleted val="0"/>
    <c:plotArea>
      <c:layout/>
      <c:barChart>
        <c:barDir val="col"/>
        <c:grouping val="clustered"/>
        <c:varyColors val="0"/>
        <c:ser>
          <c:idx val="0"/>
          <c:order val="0"/>
          <c:tx>
            <c:strRef>
              <c:f>Formulas!$CK$3</c:f>
              <c:strCache>
                <c:ptCount val="1"/>
                <c:pt idx="0">
                  <c:v>Average LOS - All HHs</c:v>
                </c:pt>
              </c:strCache>
            </c:strRef>
          </c:tx>
          <c:invertIfNegative val="0"/>
          <c:dLbls>
            <c:spPr>
              <a:noFill/>
              <a:ln>
                <a:noFill/>
              </a:ln>
              <a:effectLst/>
            </c:spPr>
            <c:txPr>
              <a:bodyPr/>
              <a:lstStyle/>
              <a:p>
                <a:pPr>
                  <a:defRPr sz="1600"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Formulas!$CH$4:$CH$6</c:f>
              <c:strCache>
                <c:ptCount val="3"/>
                <c:pt idx="0">
                  <c:v>Emergency Shelters</c:v>
                </c:pt>
                <c:pt idx="1">
                  <c:v>Transitional Housing</c:v>
                </c:pt>
                <c:pt idx="2">
                  <c:v>Rapid Re-Housing</c:v>
                </c:pt>
              </c:strCache>
            </c:strRef>
          </c:cat>
          <c:val>
            <c:numRef>
              <c:f>Formulas!$CK$4:$CK$6</c:f>
              <c:numCache>
                <c:formatCode>#,##0</c:formatCode>
                <c:ptCount val="3"/>
                <c:pt idx="0">
                  <c:v>53.459595959595958</c:v>
                </c:pt>
                <c:pt idx="1">
                  <c:v>287.78846153846155</c:v>
                </c:pt>
                <c:pt idx="2">
                  <c:v>107.35294117647059</c:v>
                </c:pt>
              </c:numCache>
            </c:numRef>
          </c:val>
        </c:ser>
        <c:dLbls>
          <c:showLegendKey val="0"/>
          <c:showVal val="1"/>
          <c:showCatName val="0"/>
          <c:showSerName val="0"/>
          <c:showPercent val="0"/>
          <c:showBubbleSize val="0"/>
        </c:dLbls>
        <c:gapWidth val="75"/>
        <c:overlap val="-25"/>
        <c:axId val="605471128"/>
        <c:axId val="605471912"/>
      </c:barChart>
      <c:catAx>
        <c:axId val="605471128"/>
        <c:scaling>
          <c:orientation val="minMax"/>
        </c:scaling>
        <c:delete val="0"/>
        <c:axPos val="b"/>
        <c:numFmt formatCode="General" sourceLinked="0"/>
        <c:majorTickMark val="none"/>
        <c:minorTickMark val="none"/>
        <c:tickLblPos val="nextTo"/>
        <c:crossAx val="605471912"/>
        <c:crosses val="autoZero"/>
        <c:auto val="1"/>
        <c:lblAlgn val="ctr"/>
        <c:lblOffset val="100"/>
        <c:noMultiLvlLbl val="0"/>
      </c:catAx>
      <c:valAx>
        <c:axId val="605471912"/>
        <c:scaling>
          <c:orientation val="minMax"/>
        </c:scaling>
        <c:delete val="0"/>
        <c:axPos val="l"/>
        <c:majorGridlines/>
        <c:numFmt formatCode="#,##0" sourceLinked="1"/>
        <c:majorTickMark val="none"/>
        <c:minorTickMark val="none"/>
        <c:tickLblPos val="nextTo"/>
        <c:spPr>
          <a:ln w="9525">
            <a:noFill/>
          </a:ln>
        </c:spPr>
        <c:crossAx val="605471128"/>
        <c:crosses val="autoZero"/>
        <c:crossBetween val="between"/>
      </c:valAx>
      <c:spPr>
        <a:solidFill>
          <a:sysClr val="window" lastClr="FFFFFF">
            <a:lumMod val="95000"/>
          </a:sysClr>
        </a:solidFill>
      </c:spPr>
    </c:plotArea>
    <c:plotVisOnly val="1"/>
    <c:dispBlanksAs val="gap"/>
    <c:showDLblsOverMax val="0"/>
  </c:chart>
  <c:spPr>
    <a:solidFill>
      <a:schemeClr val="bg1">
        <a:lumMod val="95000"/>
      </a:schemeClr>
    </a:solidFill>
  </c:sp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Label" fmlaTxbx="Formulas!AH26" lockText="1"/>
</file>

<file path=xl/ctrlProps/ctrlProp10.xml><?xml version="1.0" encoding="utf-8"?>
<formControlPr xmlns="http://schemas.microsoft.com/office/spreadsheetml/2009/9/main" objectType="Label" fmlaTxbx="Formulas!J26" lockText="1"/>
</file>

<file path=xl/ctrlProps/ctrlProp11.xml><?xml version="1.0" encoding="utf-8"?>
<formControlPr xmlns="http://schemas.microsoft.com/office/spreadsheetml/2009/9/main" objectType="Label" fmlaTxbx="Formulas!J37" lockText="1"/>
</file>

<file path=xl/ctrlProps/ctrlProp12.xml><?xml version="1.0" encoding="utf-8"?>
<formControlPr xmlns="http://schemas.microsoft.com/office/spreadsheetml/2009/9/main" objectType="Label" fmlaTxbx="Formulas!J48" lockText="1"/>
</file>

<file path=xl/ctrlProps/ctrlProp13.xml><?xml version="1.0" encoding="utf-8"?>
<formControlPr xmlns="http://schemas.microsoft.com/office/spreadsheetml/2009/9/main" objectType="Label" fmlaTxbx="Formulas!AW32" lockText="1"/>
</file>

<file path=xl/ctrlProps/ctrlProp14.xml><?xml version="1.0" encoding="utf-8"?>
<formControlPr xmlns="http://schemas.microsoft.com/office/spreadsheetml/2009/9/main" objectType="Label" fmlaTxbx="Formulas!AW46" lockText="1"/>
</file>

<file path=xl/ctrlProps/ctrlProp15.xml><?xml version="1.0" encoding="utf-8"?>
<formControlPr xmlns="http://schemas.microsoft.com/office/spreadsheetml/2009/9/main" objectType="Label" fmlaTxbx="Formulas!AW60" lockText="1"/>
</file>

<file path=xl/ctrlProps/ctrlProp16.xml><?xml version="1.0" encoding="utf-8"?>
<formControlPr xmlns="http://schemas.microsoft.com/office/spreadsheetml/2009/9/main" objectType="Label" fmlaTxbx="Formulas!BL26" lockText="1"/>
</file>

<file path=xl/ctrlProps/ctrlProp17.xml><?xml version="1.0" encoding="utf-8"?>
<formControlPr xmlns="http://schemas.microsoft.com/office/spreadsheetml/2009/9/main" objectType="Label" fmlaTxbx="Formulas!BL32" lockText="1"/>
</file>

<file path=xl/ctrlProps/ctrlProp18.xml><?xml version="1.0" encoding="utf-8"?>
<formControlPr xmlns="http://schemas.microsoft.com/office/spreadsheetml/2009/9/main" objectType="Label" fmlaTxbx="Formulas!BL42" lockText="1"/>
</file>

<file path=xl/ctrlProps/ctrlProp19.xml><?xml version="1.0" encoding="utf-8"?>
<formControlPr xmlns="http://schemas.microsoft.com/office/spreadsheetml/2009/9/main" objectType="Label" fmlaTxbx="Formulas!BL48" lockText="1"/>
</file>

<file path=xl/ctrlProps/ctrlProp2.xml><?xml version="1.0" encoding="utf-8"?>
<formControlPr xmlns="http://schemas.microsoft.com/office/spreadsheetml/2009/9/main" objectType="Label" fmlaTxbx="Formulas!AH32" lockText="1"/>
</file>

<file path=xl/ctrlProps/ctrlProp20.xml><?xml version="1.0" encoding="utf-8"?>
<formControlPr xmlns="http://schemas.microsoft.com/office/spreadsheetml/2009/9/main" objectType="Label" fmlaTxbx="Formulas!BL58" lockText="1"/>
</file>

<file path=xl/ctrlProps/ctrlProp21.xml><?xml version="1.0" encoding="utf-8"?>
<formControlPr xmlns="http://schemas.microsoft.com/office/spreadsheetml/2009/9/main" objectType="Label" fmlaTxbx="Formulas!BL64" lockText="1"/>
</file>

<file path=xl/ctrlProps/ctrlProp22.xml><?xml version="1.0" encoding="utf-8"?>
<formControlPr xmlns="http://schemas.microsoft.com/office/spreadsheetml/2009/9/main" objectType="Label" fmlaTxbx="Formulas!BK75" lockText="1"/>
</file>

<file path=xl/ctrlProps/ctrlProp23.xml><?xml version="1.0" encoding="utf-8"?>
<formControlPr xmlns="http://schemas.microsoft.com/office/spreadsheetml/2009/9/main" objectType="Label" fmlaTxbx="Formulas!BK83" lockText="1"/>
</file>

<file path=xl/ctrlProps/ctrlProp24.xml><?xml version="1.0" encoding="utf-8"?>
<formControlPr xmlns="http://schemas.microsoft.com/office/spreadsheetml/2009/9/main" objectType="Label" fmlaTxbx="Formulas!BK91" lockText="1"/>
</file>

<file path=xl/ctrlProps/ctrlProp25.xml><?xml version="1.0" encoding="utf-8"?>
<formControlPr xmlns="http://schemas.microsoft.com/office/spreadsheetml/2009/9/main" objectType="Label" fmlaTxbx="Formulas!BE97" lockText="1"/>
</file>

<file path=xl/ctrlProps/ctrlProp26.xml><?xml version="1.0" encoding="utf-8"?>
<formControlPr xmlns="http://schemas.microsoft.com/office/spreadsheetml/2009/9/main" objectType="Label" fmlaTxbx="Formulas!BQ99" lockText="1"/>
</file>

<file path=xl/ctrlProps/ctrlProp27.xml><?xml version="1.0" encoding="utf-8"?>
<formControlPr xmlns="http://schemas.microsoft.com/office/spreadsheetml/2009/9/main" objectType="Label" fmlaTxbx="Formulas!BQ114" lockText="1"/>
</file>

<file path=xl/ctrlProps/ctrlProp28.xml><?xml version="1.0" encoding="utf-8"?>
<formControlPr xmlns="http://schemas.microsoft.com/office/spreadsheetml/2009/9/main" objectType="Label" fmlaTxbx="Formulas!BQ129" lockText="1"/>
</file>

<file path=xl/ctrlProps/ctrlProp29.xml><?xml version="1.0" encoding="utf-8"?>
<formControlPr xmlns="http://schemas.microsoft.com/office/spreadsheetml/2009/9/main" objectType="Label" fmlaTxbx="Formulas!CA26" lockText="1"/>
</file>

<file path=xl/ctrlProps/ctrlProp3.xml><?xml version="1.0" encoding="utf-8"?>
<formControlPr xmlns="http://schemas.microsoft.com/office/spreadsheetml/2009/9/main" objectType="Label" fmlaTxbx="Formulas!AH38" lockText="1"/>
</file>

<file path=xl/ctrlProps/ctrlProp30.xml><?xml version="1.0" encoding="utf-8"?>
<formControlPr xmlns="http://schemas.microsoft.com/office/spreadsheetml/2009/9/main" objectType="Label" fmlaTxbx="Formulas!CA32" lockText="1"/>
</file>

<file path=xl/ctrlProps/ctrlProp31.xml><?xml version="1.0" encoding="utf-8"?>
<formControlPr xmlns="http://schemas.microsoft.com/office/spreadsheetml/2009/9/main" objectType="Label" fmlaTxbx="Formulas!CA42" lockText="1"/>
</file>

<file path=xl/ctrlProps/ctrlProp32.xml><?xml version="1.0" encoding="utf-8"?>
<formControlPr xmlns="http://schemas.microsoft.com/office/spreadsheetml/2009/9/main" objectType="Label" fmlaTxbx="Formulas!CA48" lockText="1"/>
</file>

<file path=xl/ctrlProps/ctrlProp33.xml><?xml version="1.0" encoding="utf-8"?>
<formControlPr xmlns="http://schemas.microsoft.com/office/spreadsheetml/2009/9/main" objectType="Label" fmlaTxbx="Formulas!CA58" lockText="1"/>
</file>

<file path=xl/ctrlProps/ctrlProp34.xml><?xml version="1.0" encoding="utf-8"?>
<formControlPr xmlns="http://schemas.microsoft.com/office/spreadsheetml/2009/9/main" objectType="Label" fmlaTxbx="Formulas!CA64" lockText="1"/>
</file>

<file path=xl/ctrlProps/ctrlProp35.xml><?xml version="1.0" encoding="utf-8"?>
<formControlPr xmlns="http://schemas.microsoft.com/office/spreadsheetml/2009/9/main" objectType="Label" fmlaTxbx="Formulas!BZ75" lockText="1"/>
</file>

<file path=xl/ctrlProps/ctrlProp36.xml><?xml version="1.0" encoding="utf-8"?>
<formControlPr xmlns="http://schemas.microsoft.com/office/spreadsheetml/2009/9/main" objectType="Label" fmlaTxbx="Formulas!BZ83" lockText="1"/>
</file>

<file path=xl/ctrlProps/ctrlProp37.xml><?xml version="1.0" encoding="utf-8"?>
<formControlPr xmlns="http://schemas.microsoft.com/office/spreadsheetml/2009/9/main" objectType="Label" fmlaTxbx="Formulas!BZ91" lockText="1"/>
</file>

<file path=xl/ctrlProps/ctrlProp38.xml><?xml version="1.0" encoding="utf-8"?>
<formControlPr xmlns="http://schemas.microsoft.com/office/spreadsheetml/2009/9/main" objectType="Label" fmlaTxbx="Formulas!BT97" lockText="1"/>
</file>

<file path=xl/ctrlProps/ctrlProp39.xml><?xml version="1.0" encoding="utf-8"?>
<formControlPr xmlns="http://schemas.microsoft.com/office/spreadsheetml/2009/9/main" objectType="Label" fmlaTxbx="Formulas!CF99" lockText="1"/>
</file>

<file path=xl/ctrlProps/ctrlProp4.xml><?xml version="1.0" encoding="utf-8"?>
<formControlPr xmlns="http://schemas.microsoft.com/office/spreadsheetml/2009/9/main" objectType="Label" fmlaTxbx="Formulas!AH44" lockText="1"/>
</file>

<file path=xl/ctrlProps/ctrlProp40.xml><?xml version="1.0" encoding="utf-8"?>
<formControlPr xmlns="http://schemas.microsoft.com/office/spreadsheetml/2009/9/main" objectType="Label" fmlaTxbx="Formulas!CF114" lockText="1"/>
</file>

<file path=xl/ctrlProps/ctrlProp41.xml><?xml version="1.0" encoding="utf-8"?>
<formControlPr xmlns="http://schemas.microsoft.com/office/spreadsheetml/2009/9/main" objectType="Label" fmlaTxbx="Formulas!BT112" lockText="1"/>
</file>

<file path=xl/ctrlProps/ctrlProp42.xml><?xml version="1.0" encoding="utf-8"?>
<formControlPr xmlns="http://schemas.microsoft.com/office/spreadsheetml/2009/9/main" objectType="Label" fmlaTxbx="Formulas!BT127" lockText="1"/>
</file>

<file path=xl/ctrlProps/ctrlProp43.xml><?xml version="1.0" encoding="utf-8"?>
<formControlPr xmlns="http://schemas.microsoft.com/office/spreadsheetml/2009/9/main" objectType="Label" fmlaTxbx="Formulas!CF129" lockText="1"/>
</file>

<file path=xl/ctrlProps/ctrlProp5.xml><?xml version="1.0" encoding="utf-8"?>
<formControlPr xmlns="http://schemas.microsoft.com/office/spreadsheetml/2009/9/main" objectType="Label" fmlaTxbx="Formulas!AH50" lockText="1"/>
</file>

<file path=xl/ctrlProps/ctrlProp6.xml><?xml version="1.0" encoding="utf-8"?>
<formControlPr xmlns="http://schemas.microsoft.com/office/spreadsheetml/2009/9/main" objectType="Label" fmlaTxbx="Formulas!AH56" lockText="1"/>
</file>

<file path=xl/ctrlProps/ctrlProp7.xml><?xml version="1.0" encoding="utf-8"?>
<formControlPr xmlns="http://schemas.microsoft.com/office/spreadsheetml/2009/9/main" objectType="Label" fmlaTxbx="Formulas!T62" lockText="1"/>
</file>

<file path=xl/ctrlProps/ctrlProp8.xml><?xml version="1.0" encoding="utf-8"?>
<formControlPr xmlns="http://schemas.microsoft.com/office/spreadsheetml/2009/9/main" objectType="Label" fmlaTxbx="Formulas!T68" lockText="1"/>
</file>

<file path=xl/ctrlProps/ctrlProp9.xml><?xml version="1.0" encoding="utf-8"?>
<formControlPr xmlns="http://schemas.microsoft.com/office/spreadsheetml/2009/9/main" objectType="Label" fmlaTxbx="Formulas!T74"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10" Type="http://schemas.openxmlformats.org/officeDocument/2006/relationships/image" Target="../media/image5.wmf"/><Relationship Id="rId4" Type="http://schemas.openxmlformats.org/officeDocument/2006/relationships/chart" Target="../charts/chart34.xml"/><Relationship Id="rId9" Type="http://schemas.openxmlformats.org/officeDocument/2006/relationships/chart" Target="../charts/chart3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2.xml"/><Relationship Id="rId7" Type="http://schemas.openxmlformats.org/officeDocument/2006/relationships/image" Target="../media/image5.wmf"/><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8.xml"/><Relationship Id="rId18" Type="http://schemas.openxmlformats.org/officeDocument/2006/relationships/chart" Target="../charts/chart63.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7.xml"/><Relationship Id="rId17" Type="http://schemas.openxmlformats.org/officeDocument/2006/relationships/chart" Target="../charts/chart62.xml"/><Relationship Id="rId2" Type="http://schemas.openxmlformats.org/officeDocument/2006/relationships/chart" Target="../charts/chart47.xml"/><Relationship Id="rId16" Type="http://schemas.openxmlformats.org/officeDocument/2006/relationships/chart" Target="../charts/chart61.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5" Type="http://schemas.openxmlformats.org/officeDocument/2006/relationships/chart" Target="../charts/chart6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9.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13" Type="http://schemas.openxmlformats.org/officeDocument/2006/relationships/chart" Target="../charts/chart76.xml"/><Relationship Id="rId18" Type="http://schemas.openxmlformats.org/officeDocument/2006/relationships/chart" Target="../charts/chart81.xml"/><Relationship Id="rId3" Type="http://schemas.openxmlformats.org/officeDocument/2006/relationships/chart" Target="../charts/chart66.xml"/><Relationship Id="rId7" Type="http://schemas.openxmlformats.org/officeDocument/2006/relationships/chart" Target="../charts/chart70.xml"/><Relationship Id="rId12" Type="http://schemas.openxmlformats.org/officeDocument/2006/relationships/chart" Target="../charts/chart75.xml"/><Relationship Id="rId17" Type="http://schemas.openxmlformats.org/officeDocument/2006/relationships/chart" Target="../charts/chart80.xml"/><Relationship Id="rId2" Type="http://schemas.openxmlformats.org/officeDocument/2006/relationships/chart" Target="../charts/chart65.xml"/><Relationship Id="rId16" Type="http://schemas.openxmlformats.org/officeDocument/2006/relationships/chart" Target="../charts/chart79.xml"/><Relationship Id="rId1" Type="http://schemas.openxmlformats.org/officeDocument/2006/relationships/chart" Target="../charts/chart64.xml"/><Relationship Id="rId6" Type="http://schemas.openxmlformats.org/officeDocument/2006/relationships/chart" Target="../charts/chart69.xml"/><Relationship Id="rId11" Type="http://schemas.openxmlformats.org/officeDocument/2006/relationships/chart" Target="../charts/chart74.xml"/><Relationship Id="rId5" Type="http://schemas.openxmlformats.org/officeDocument/2006/relationships/chart" Target="../charts/chart68.xml"/><Relationship Id="rId15" Type="http://schemas.openxmlformats.org/officeDocument/2006/relationships/chart" Target="../charts/chart78.xml"/><Relationship Id="rId10" Type="http://schemas.openxmlformats.org/officeDocument/2006/relationships/chart" Target="../charts/chart73.xml"/><Relationship Id="rId19" Type="http://schemas.openxmlformats.org/officeDocument/2006/relationships/image" Target="../media/image5.wmf"/><Relationship Id="rId4" Type="http://schemas.openxmlformats.org/officeDocument/2006/relationships/chart" Target="../charts/chart67.xml"/><Relationship Id="rId9" Type="http://schemas.openxmlformats.org/officeDocument/2006/relationships/chart" Target="../charts/chart72.xml"/><Relationship Id="rId14" Type="http://schemas.openxmlformats.org/officeDocument/2006/relationships/chart" Target="../charts/chart7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image" Target="../media/image5.wmf"/><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4.xml"/><Relationship Id="rId7" Type="http://schemas.openxmlformats.org/officeDocument/2006/relationships/image" Target="../media/image5.wmf"/><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10" Type="http://schemas.openxmlformats.org/officeDocument/2006/relationships/chart" Target="../charts/chart30.xml"/><Relationship Id="rId4" Type="http://schemas.openxmlformats.org/officeDocument/2006/relationships/chart" Target="../charts/chart25.xml"/><Relationship Id="rId9" Type="http://schemas.openxmlformats.org/officeDocument/2006/relationships/chart" Target="../charts/chart2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4764</xdr:colOff>
      <xdr:row>49</xdr:row>
      <xdr:rowOff>152400</xdr:rowOff>
    </xdr:from>
    <xdr:to>
      <xdr:col>7</xdr:col>
      <xdr:colOff>723909</xdr:colOff>
      <xdr:row>66</xdr:row>
      <xdr:rowOff>114300</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8" y="11049000"/>
          <a:ext cx="6953246" cy="3524250"/>
        </a:xfrm>
        <a:prstGeom prst="rect">
          <a:avLst/>
        </a:prstGeom>
        <a:noFill/>
        <a:ln w="1">
          <a:noFill/>
          <a:miter lim="800000"/>
          <a:headEnd/>
          <a:tailEnd type="none" w="med" len="med"/>
        </a:ln>
        <a:effectLst/>
      </xdr:spPr>
    </xdr:pic>
    <xdr:clientData/>
  </xdr:twoCellAnchor>
  <xdr:twoCellAnchor>
    <xdr:from>
      <xdr:col>7</xdr:col>
      <xdr:colOff>661987</xdr:colOff>
      <xdr:row>56</xdr:row>
      <xdr:rowOff>57150</xdr:rowOff>
    </xdr:from>
    <xdr:to>
      <xdr:col>8</xdr:col>
      <xdr:colOff>0</xdr:colOff>
      <xdr:row>57</xdr:row>
      <xdr:rowOff>200025</xdr:rowOff>
    </xdr:to>
    <xdr:sp macro="" textlink="">
      <xdr:nvSpPr>
        <xdr:cNvPr id="10" name="Oval 9"/>
        <xdr:cNvSpPr/>
      </xdr:nvSpPr>
      <xdr:spPr>
        <a:xfrm>
          <a:off x="6829425" y="12420600"/>
          <a:ext cx="180975"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280987</xdr:colOff>
      <xdr:row>63</xdr:row>
      <xdr:rowOff>161925</xdr:rowOff>
    </xdr:from>
    <xdr:to>
      <xdr:col>7</xdr:col>
      <xdr:colOff>114300</xdr:colOff>
      <xdr:row>66</xdr:row>
      <xdr:rowOff>104775</xdr:rowOff>
    </xdr:to>
    <xdr:sp macro="" textlink="">
      <xdr:nvSpPr>
        <xdr:cNvPr id="11" name="Oval 10"/>
        <xdr:cNvSpPr/>
      </xdr:nvSpPr>
      <xdr:spPr>
        <a:xfrm>
          <a:off x="5362575" y="13992225"/>
          <a:ext cx="371475"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333375</xdr:colOff>
      <xdr:row>53</xdr:row>
      <xdr:rowOff>19050</xdr:rowOff>
    </xdr:from>
    <xdr:to>
      <xdr:col>7</xdr:col>
      <xdr:colOff>571500</xdr:colOff>
      <xdr:row>55</xdr:row>
      <xdr:rowOff>85725</xdr:rowOff>
    </xdr:to>
    <xdr:sp macro="" textlink="">
      <xdr:nvSpPr>
        <xdr:cNvPr id="12" name="TextBox 11"/>
        <xdr:cNvSpPr txBox="1"/>
      </xdr:nvSpPr>
      <xdr:spPr>
        <a:xfrm>
          <a:off x="4762500" y="11753850"/>
          <a:ext cx="18859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Use right</a:t>
          </a:r>
          <a:r>
            <a:rPr lang="en-US" sz="1000" b="1" i="1" baseline="0">
              <a:solidFill>
                <a:srgbClr val="FF0000"/>
              </a:solidFill>
            </a:rPr>
            <a:t> side scroll bar to scroll through visible sheet.</a:t>
          </a:r>
          <a:endParaRPr lang="en-US" sz="1000" b="1" i="1">
            <a:solidFill>
              <a:srgbClr val="FF0000"/>
            </a:solidFill>
          </a:endParaRPr>
        </a:p>
      </xdr:txBody>
    </xdr:sp>
    <xdr:clientData/>
  </xdr:twoCellAnchor>
  <xdr:twoCellAnchor>
    <xdr:from>
      <xdr:col>2</xdr:col>
      <xdr:colOff>238124</xdr:colOff>
      <xdr:row>56</xdr:row>
      <xdr:rowOff>114300</xdr:rowOff>
    </xdr:from>
    <xdr:to>
      <xdr:col>6</xdr:col>
      <xdr:colOff>33337</xdr:colOff>
      <xdr:row>59</xdr:row>
      <xdr:rowOff>201992</xdr:rowOff>
    </xdr:to>
    <xdr:sp macro="" textlink="">
      <xdr:nvSpPr>
        <xdr:cNvPr id="13" name="TextBox 12"/>
        <xdr:cNvSpPr txBox="1">
          <a:spLocks noChangeAspect="1"/>
        </xdr:cNvSpPr>
      </xdr:nvSpPr>
      <xdr:spPr>
        <a:xfrm>
          <a:off x="2457449" y="12477750"/>
          <a:ext cx="2409825" cy="716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a:solidFill>
                <a:srgbClr val="FF0000"/>
              </a:solidFill>
            </a:rPr>
            <a:t>"Grab"</a:t>
          </a:r>
          <a:r>
            <a:rPr lang="en-US" sz="1000" b="1" i="1" baseline="0">
              <a:solidFill>
                <a:srgbClr val="FF0000"/>
              </a:solidFill>
            </a:rPr>
            <a:t> scroll bar here until cursor turns to two arrows pointing away from each other.  When the arrows appear, drag the scroll bar to the right, revealing the tabs.</a:t>
          </a:r>
          <a:endParaRPr lang="en-US" sz="1000" b="1" i="1">
            <a:solidFill>
              <a:srgbClr val="FF0000"/>
            </a:solidFill>
          </a:endParaRPr>
        </a:p>
      </xdr:txBody>
    </xdr:sp>
    <xdr:clientData/>
  </xdr:twoCellAnchor>
  <xdr:twoCellAnchor>
    <xdr:from>
      <xdr:col>7</xdr:col>
      <xdr:colOff>100012</xdr:colOff>
      <xdr:row>55</xdr:row>
      <xdr:rowOff>85725</xdr:rowOff>
    </xdr:from>
    <xdr:to>
      <xdr:col>7</xdr:col>
      <xdr:colOff>675238</xdr:colOff>
      <xdr:row>56</xdr:row>
      <xdr:rowOff>108761</xdr:rowOff>
    </xdr:to>
    <xdr:cxnSp macro="">
      <xdr:nvCxnSpPr>
        <xdr:cNvPr id="14" name="Straight Arrow Connector 13"/>
        <xdr:cNvCxnSpPr>
          <a:stCxn id="10" idx="1"/>
          <a:endCxn id="12" idx="2"/>
        </xdr:cNvCxnSpPr>
      </xdr:nvCxnSpPr>
      <xdr:spPr>
        <a:xfrm flipH="1" flipV="1">
          <a:off x="5705475" y="12239625"/>
          <a:ext cx="1150452" cy="23258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30956</xdr:colOff>
      <xdr:row>58</xdr:row>
      <xdr:rowOff>53371</xdr:rowOff>
    </xdr:from>
    <xdr:to>
      <xdr:col>6</xdr:col>
      <xdr:colOff>308188</xdr:colOff>
      <xdr:row>64</xdr:row>
      <xdr:rowOff>36069</xdr:rowOff>
    </xdr:to>
    <xdr:cxnSp macro="">
      <xdr:nvCxnSpPr>
        <xdr:cNvPr id="17" name="Straight Arrow Connector 16"/>
        <xdr:cNvCxnSpPr>
          <a:stCxn id="11" idx="1"/>
          <a:endCxn id="13" idx="3"/>
        </xdr:cNvCxnSpPr>
      </xdr:nvCxnSpPr>
      <xdr:spPr>
        <a:xfrm flipH="1" flipV="1">
          <a:off x="4862512" y="12835921"/>
          <a:ext cx="554464" cy="123999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0.73333</cdr:x>
      <cdr:y>0.01042</cdr:y>
    </cdr:from>
    <cdr:to>
      <cdr:x>0.9875</cdr:x>
      <cdr:y>0.12963</cdr:y>
    </cdr:to>
    <cdr:sp macro="" textlink="Formulas!$T$50">
      <cdr:nvSpPr>
        <cdr:cNvPr id="2" name="TextBox 1"/>
        <cdr:cNvSpPr txBox="1"/>
      </cdr:nvSpPr>
      <cdr:spPr>
        <a:xfrm xmlns:a="http://schemas.openxmlformats.org/drawingml/2006/main">
          <a:off x="3352785" y="28584"/>
          <a:ext cx="1162065" cy="3270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CC542639-62F4-45FE-BD18-AB390F1A5A1A}"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0.72613</cdr:x>
      <cdr:y>0.03225</cdr:y>
    </cdr:from>
    <cdr:to>
      <cdr:x>0.99375</cdr:x>
      <cdr:y>0.18064</cdr:y>
    </cdr:to>
    <cdr:sp macro="" textlink="Formulas!$T$56">
      <cdr:nvSpPr>
        <cdr:cNvPr id="2" name="TextBox 1"/>
        <cdr:cNvSpPr txBox="1"/>
      </cdr:nvSpPr>
      <cdr:spPr>
        <a:xfrm xmlns:a="http://schemas.openxmlformats.org/drawingml/2006/main">
          <a:off x="3319882" y="95240"/>
          <a:ext cx="1223558" cy="43815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91D3E244-001A-4640-B4A7-6F556A9456E7}" type="TxLink">
            <a:rPr lang="en-US" sz="1400" b="1" i="1" u="none" strike="noStrike">
              <a:solidFill>
                <a:srgbClr val="FF0000"/>
              </a:solidFill>
              <a:latin typeface="Arial Narrow"/>
              <a:ea typeface="Verdana"/>
              <a:cs typeface="Verdana"/>
            </a:rPr>
            <a:pPr/>
            <a:t> </a:t>
          </a:fld>
          <a:endParaRPr lang="en-US" sz="1200" b="1" i="1">
            <a:solidFill>
              <a:srgbClr val="FF0000"/>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257175</xdr:colOff>
      <xdr:row>9</xdr:row>
      <xdr:rowOff>9525</xdr:rowOff>
    </xdr:from>
    <xdr:to>
      <xdr:col>5</xdr:col>
      <xdr:colOff>1131794</xdr:colOff>
      <xdr:row>25</xdr:row>
      <xdr:rowOff>148478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8</xdr:row>
      <xdr:rowOff>133350</xdr:rowOff>
    </xdr:from>
    <xdr:to>
      <xdr:col>11</xdr:col>
      <xdr:colOff>1093694</xdr:colOff>
      <xdr:row>25</xdr:row>
      <xdr:rowOff>110378</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8</xdr:row>
      <xdr:rowOff>152400</xdr:rowOff>
    </xdr:from>
    <xdr:to>
      <xdr:col>16</xdr:col>
      <xdr:colOff>1065119</xdr:colOff>
      <xdr:row>25</xdr:row>
      <xdr:rowOff>129428</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27</xdr:row>
      <xdr:rowOff>66675</xdr:rowOff>
    </xdr:from>
    <xdr:to>
      <xdr:col>5</xdr:col>
      <xdr:colOff>1133475</xdr:colOff>
      <xdr:row>45</xdr:row>
      <xdr:rowOff>68917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27</xdr:row>
      <xdr:rowOff>47625</xdr:rowOff>
    </xdr:from>
    <xdr:to>
      <xdr:col>11</xdr:col>
      <xdr:colOff>1095375</xdr:colOff>
      <xdr:row>45</xdr:row>
      <xdr:rowOff>49867</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200025</xdr:colOff>
      <xdr:row>27</xdr:row>
      <xdr:rowOff>19050</xdr:rowOff>
    </xdr:from>
    <xdr:to>
      <xdr:col>16</xdr:col>
      <xdr:colOff>1066800</xdr:colOff>
      <xdr:row>45</xdr:row>
      <xdr:rowOff>21292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195263</xdr:colOff>
      <xdr:row>47</xdr:row>
      <xdr:rowOff>69056</xdr:rowOff>
    </xdr:from>
    <xdr:to>
      <xdr:col>5</xdr:col>
      <xdr:colOff>1062038</xdr:colOff>
      <xdr:row>65</xdr:row>
      <xdr:rowOff>69056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138113</xdr:colOff>
      <xdr:row>47</xdr:row>
      <xdr:rowOff>78861</xdr:rowOff>
    </xdr:from>
    <xdr:to>
      <xdr:col>11</xdr:col>
      <xdr:colOff>1004888</xdr:colOff>
      <xdr:row>65</xdr:row>
      <xdr:rowOff>78861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152400</xdr:colOff>
      <xdr:row>47</xdr:row>
      <xdr:rowOff>59532</xdr:rowOff>
    </xdr:from>
    <xdr:to>
      <xdr:col>16</xdr:col>
      <xdr:colOff>1019175</xdr:colOff>
      <xdr:row>65</xdr:row>
      <xdr:rowOff>83345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1057275</xdr:colOff>
      <xdr:row>2</xdr:row>
      <xdr:rowOff>0</xdr:rowOff>
    </xdr:from>
    <xdr:to>
      <xdr:col>3</xdr:col>
      <xdr:colOff>11702</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1209675" y="190500"/>
          <a:ext cx="326027" cy="323850"/>
        </a:xfrm>
        <a:prstGeom prst="rect">
          <a:avLst/>
        </a:prstGeom>
        <a:noFill/>
      </xdr:spPr>
    </xdr:pic>
    <xdr:clientData fLocksWithSheet="0"/>
  </xdr:twoCellAnchor>
  <xdr:twoCellAnchor editAs="oneCell">
    <xdr:from>
      <xdr:col>7</xdr:col>
      <xdr:colOff>1057275</xdr:colOff>
      <xdr:row>2</xdr:row>
      <xdr:rowOff>0</xdr:rowOff>
    </xdr:from>
    <xdr:to>
      <xdr:col>9</xdr:col>
      <xdr:colOff>11702</xdr:colOff>
      <xdr:row>2</xdr:row>
      <xdr:rowOff>323850</xdr:rowOff>
    </xdr:to>
    <xdr:pic>
      <xdr:nvPicPr>
        <xdr:cNvPr id="1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0" cstate="print"/>
        <a:srcRect/>
        <a:stretch>
          <a:fillRect/>
        </a:stretch>
      </xdr:blipFill>
      <xdr:spPr bwMode="auto">
        <a:xfrm>
          <a:off x="6276975" y="190500"/>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5</xdr:col>
          <xdr:colOff>38100</xdr:colOff>
          <xdr:row>9</xdr:row>
          <xdr:rowOff>123825</xdr:rowOff>
        </xdr:from>
        <xdr:to>
          <xdr:col>5</xdr:col>
          <xdr:colOff>1066800</xdr:colOff>
          <xdr:row>11</xdr:row>
          <xdr:rowOff>28575</xdr:rowOff>
        </xdr:to>
        <xdr:sp macro="" textlink="">
          <xdr:nvSpPr>
            <xdr:cNvPr id="16385" name="Label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1171575</xdr:colOff>
          <xdr:row>9</xdr:row>
          <xdr:rowOff>76200</xdr:rowOff>
        </xdr:from>
        <xdr:to>
          <xdr:col>11</xdr:col>
          <xdr:colOff>1028700</xdr:colOff>
          <xdr:row>10</xdr:row>
          <xdr:rowOff>152400</xdr:rowOff>
        </xdr:to>
        <xdr:sp macro="" textlink="">
          <xdr:nvSpPr>
            <xdr:cNvPr id="16386" name="Label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1171575</xdr:colOff>
          <xdr:row>9</xdr:row>
          <xdr:rowOff>85725</xdr:rowOff>
        </xdr:from>
        <xdr:to>
          <xdr:col>16</xdr:col>
          <xdr:colOff>895350</xdr:colOff>
          <xdr:row>11</xdr:row>
          <xdr:rowOff>0</xdr:rowOff>
        </xdr:to>
        <xdr:sp macro="" textlink="">
          <xdr:nvSpPr>
            <xdr:cNvPr id="16387" name="Label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13</xdr:col>
      <xdr:colOff>114300</xdr:colOff>
      <xdr:row>6</xdr:row>
      <xdr:rowOff>171450</xdr:rowOff>
    </xdr:from>
    <xdr:to>
      <xdr:col>16</xdr:col>
      <xdr:colOff>1047750</xdr:colOff>
      <xdr:row>20</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6</xdr:row>
      <xdr:rowOff>180975</xdr:rowOff>
    </xdr:from>
    <xdr:to>
      <xdr:col>11</xdr:col>
      <xdr:colOff>1057275</xdr:colOff>
      <xdr:row>20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5</xdr:col>
      <xdr:colOff>933450</xdr:colOff>
      <xdr:row>20</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0</xdr:rowOff>
    </xdr:from>
    <xdr:to>
      <xdr:col>5</xdr:col>
      <xdr:colOff>933450</xdr:colOff>
      <xdr:row>36</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133350</xdr:colOff>
      <xdr:row>22</xdr:row>
      <xdr:rowOff>0</xdr:rowOff>
    </xdr:from>
    <xdr:to>
      <xdr:col>11</xdr:col>
      <xdr:colOff>1066800</xdr:colOff>
      <xdr:row>36</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90208</xdr:colOff>
      <xdr:row>22</xdr:row>
      <xdr:rowOff>0</xdr:rowOff>
    </xdr:from>
    <xdr:to>
      <xdr:col>16</xdr:col>
      <xdr:colOff>1023658</xdr:colOff>
      <xdr:row>36</xdr:row>
      <xdr:rowOff>58830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971550</xdr:colOff>
      <xdr:row>2</xdr:row>
      <xdr:rowOff>9525</xdr:rowOff>
    </xdr:from>
    <xdr:to>
      <xdr:col>3</xdr:col>
      <xdr:colOff>21227</xdr:colOff>
      <xdr:row>2</xdr:row>
      <xdr:rowOff>333375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123950" y="209550"/>
          <a:ext cx="326027" cy="323850"/>
        </a:xfrm>
        <a:prstGeom prst="rect">
          <a:avLst/>
        </a:prstGeom>
        <a:noFill/>
      </xdr:spPr>
    </xdr:pic>
    <xdr:clientData fLocksWithSheet="0"/>
  </xdr:twoCellAnchor>
  <xdr:twoCellAnchor editAs="oneCell">
    <xdr:from>
      <xdr:col>7</xdr:col>
      <xdr:colOff>971550</xdr:colOff>
      <xdr:row>2</xdr:row>
      <xdr:rowOff>0</xdr:rowOff>
    </xdr:from>
    <xdr:to>
      <xdr:col>9</xdr:col>
      <xdr:colOff>21227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09600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771525</xdr:colOff>
          <xdr:row>8</xdr:row>
          <xdr:rowOff>133350</xdr:rowOff>
        </xdr:from>
        <xdr:to>
          <xdr:col>5</xdr:col>
          <xdr:colOff>742950</xdr:colOff>
          <xdr:row>10</xdr:row>
          <xdr:rowOff>28575</xdr:rowOff>
        </xdr:to>
        <xdr:sp macro="" textlink="">
          <xdr:nvSpPr>
            <xdr:cNvPr id="13314" name="Label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8</xdr:row>
          <xdr:rowOff>76200</xdr:rowOff>
        </xdr:from>
        <xdr:to>
          <xdr:col>11</xdr:col>
          <xdr:colOff>1028700</xdr:colOff>
          <xdr:row>9</xdr:row>
          <xdr:rowOff>133350</xdr:rowOff>
        </xdr:to>
        <xdr:sp macro="" textlink="">
          <xdr:nvSpPr>
            <xdr:cNvPr id="13315" name="Label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857250</xdr:colOff>
          <xdr:row>8</xdr:row>
          <xdr:rowOff>95250</xdr:rowOff>
        </xdr:from>
        <xdr:to>
          <xdr:col>16</xdr:col>
          <xdr:colOff>981075</xdr:colOff>
          <xdr:row>9</xdr:row>
          <xdr:rowOff>161925</xdr:rowOff>
        </xdr:to>
        <xdr:sp macro="" textlink="">
          <xdr:nvSpPr>
            <xdr:cNvPr id="13316" name="Label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6</xdr:col>
      <xdr:colOff>238125</xdr:colOff>
      <xdr:row>2</xdr:row>
      <xdr:rowOff>142875</xdr:rowOff>
    </xdr:from>
    <xdr:to>
      <xdr:col>9</xdr:col>
      <xdr:colOff>1104900</xdr:colOff>
      <xdr:row>17</xdr:row>
      <xdr:rowOff>56030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2</xdr:row>
      <xdr:rowOff>152401</xdr:rowOff>
    </xdr:from>
    <xdr:to>
      <xdr:col>14</xdr:col>
      <xdr:colOff>1009650</xdr:colOff>
      <xdr:row>17</xdr:row>
      <xdr:rowOff>44824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17</xdr:row>
      <xdr:rowOff>152400</xdr:rowOff>
    </xdr:from>
    <xdr:to>
      <xdr:col>4</xdr:col>
      <xdr:colOff>1095375</xdr:colOff>
      <xdr:row>32</xdr:row>
      <xdr:rowOff>38100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17</xdr:row>
      <xdr:rowOff>161925</xdr:rowOff>
    </xdr:from>
    <xdr:to>
      <xdr:col>9</xdr:col>
      <xdr:colOff>1114425</xdr:colOff>
      <xdr:row>32</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152400</xdr:colOff>
      <xdr:row>17</xdr:row>
      <xdr:rowOff>171450</xdr:rowOff>
    </xdr:from>
    <xdr:to>
      <xdr:col>14</xdr:col>
      <xdr:colOff>1019175</xdr:colOff>
      <xdr:row>32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239806</xdr:colOff>
      <xdr:row>33</xdr:row>
      <xdr:rowOff>77694</xdr:rowOff>
    </xdr:from>
    <xdr:to>
      <xdr:col>4</xdr:col>
      <xdr:colOff>1106581</xdr:colOff>
      <xdr:row>47</xdr:row>
      <xdr:rowOff>156135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231775</xdr:colOff>
      <xdr:row>33</xdr:row>
      <xdr:rowOff>82550</xdr:rowOff>
    </xdr:from>
    <xdr:to>
      <xdr:col>9</xdr:col>
      <xdr:colOff>1098550</xdr:colOff>
      <xdr:row>47</xdr:row>
      <xdr:rowOff>160991</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171450</xdr:colOff>
      <xdr:row>33</xdr:row>
      <xdr:rowOff>73025</xdr:rowOff>
    </xdr:from>
    <xdr:to>
      <xdr:col>14</xdr:col>
      <xdr:colOff>1038225</xdr:colOff>
      <xdr:row>47</xdr:row>
      <xdr:rowOff>151466</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228600</xdr:colOff>
      <xdr:row>79</xdr:row>
      <xdr:rowOff>9525</xdr:rowOff>
    </xdr:from>
    <xdr:to>
      <xdr:col>4</xdr:col>
      <xdr:colOff>1095375</xdr:colOff>
      <xdr:row>91</xdr:row>
      <xdr:rowOff>171449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180975</xdr:colOff>
      <xdr:row>79</xdr:row>
      <xdr:rowOff>15875</xdr:rowOff>
    </xdr:from>
    <xdr:to>
      <xdr:col>9</xdr:col>
      <xdr:colOff>1047750</xdr:colOff>
      <xdr:row>91</xdr:row>
      <xdr:rowOff>168274</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149786</xdr:colOff>
      <xdr:row>79</xdr:row>
      <xdr:rowOff>0</xdr:rowOff>
    </xdr:from>
    <xdr:to>
      <xdr:col>14</xdr:col>
      <xdr:colOff>1016561</xdr:colOff>
      <xdr:row>91</xdr:row>
      <xdr:rowOff>171450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224118</xdr:colOff>
      <xdr:row>2</xdr:row>
      <xdr:rowOff>156882</xdr:rowOff>
    </xdr:from>
    <xdr:to>
      <xdr:col>4</xdr:col>
      <xdr:colOff>1098176</xdr:colOff>
      <xdr:row>17</xdr:row>
      <xdr:rowOff>44823</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238125</xdr:colOff>
      <xdr:row>48</xdr:row>
      <xdr:rowOff>63500</xdr:rowOff>
    </xdr:from>
    <xdr:to>
      <xdr:col>4</xdr:col>
      <xdr:colOff>1112183</xdr:colOff>
      <xdr:row>62</xdr:row>
      <xdr:rowOff>141942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247650</xdr:colOff>
      <xdr:row>63</xdr:row>
      <xdr:rowOff>76200</xdr:rowOff>
    </xdr:from>
    <xdr:to>
      <xdr:col>4</xdr:col>
      <xdr:colOff>1110503</xdr:colOff>
      <xdr:row>78</xdr:row>
      <xdr:rowOff>143435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241300</xdr:colOff>
      <xdr:row>48</xdr:row>
      <xdr:rowOff>60325</xdr:rowOff>
    </xdr:from>
    <xdr:to>
      <xdr:col>9</xdr:col>
      <xdr:colOff>1115359</xdr:colOff>
      <xdr:row>62</xdr:row>
      <xdr:rowOff>138767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222250</xdr:colOff>
      <xdr:row>63</xdr:row>
      <xdr:rowOff>76200</xdr:rowOff>
    </xdr:from>
    <xdr:to>
      <xdr:col>9</xdr:col>
      <xdr:colOff>1051485</xdr:colOff>
      <xdr:row>78</xdr:row>
      <xdr:rowOff>165847</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48</xdr:row>
      <xdr:rowOff>31750</xdr:rowOff>
    </xdr:from>
    <xdr:to>
      <xdr:col>14</xdr:col>
      <xdr:colOff>1026459</xdr:colOff>
      <xdr:row>62</xdr:row>
      <xdr:rowOff>110192</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142875</xdr:colOff>
      <xdr:row>63</xdr:row>
      <xdr:rowOff>76200</xdr:rowOff>
    </xdr:from>
    <xdr:to>
      <xdr:col>14</xdr:col>
      <xdr:colOff>1061757</xdr:colOff>
      <xdr:row>78</xdr:row>
      <xdr:rowOff>143436</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xdr:from>
          <xdr:col>3</xdr:col>
          <xdr:colOff>904875</xdr:colOff>
          <xdr:row>3</xdr:row>
          <xdr:rowOff>85725</xdr:rowOff>
        </xdr:from>
        <xdr:to>
          <xdr:col>4</xdr:col>
          <xdr:colOff>1038225</xdr:colOff>
          <xdr:row>5</xdr:row>
          <xdr:rowOff>0</xdr:rowOff>
        </xdr:to>
        <xdr:sp macro="" textlink="">
          <xdr:nvSpPr>
            <xdr:cNvPr id="19457" name="Label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847725</xdr:colOff>
          <xdr:row>19</xdr:row>
          <xdr:rowOff>0</xdr:rowOff>
        </xdr:from>
        <xdr:to>
          <xdr:col>4</xdr:col>
          <xdr:colOff>1028700</xdr:colOff>
          <xdr:row>20</xdr:row>
          <xdr:rowOff>57150</xdr:rowOff>
        </xdr:to>
        <xdr:sp macro="" textlink="">
          <xdr:nvSpPr>
            <xdr:cNvPr id="19458" name="Label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838200</xdr:colOff>
          <xdr:row>3</xdr:row>
          <xdr:rowOff>76200</xdr:rowOff>
        </xdr:from>
        <xdr:to>
          <xdr:col>9</xdr:col>
          <xdr:colOff>1009650</xdr:colOff>
          <xdr:row>4</xdr:row>
          <xdr:rowOff>161925</xdr:rowOff>
        </xdr:to>
        <xdr:sp macro="" textlink="">
          <xdr:nvSpPr>
            <xdr:cNvPr id="19459" name="Label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914400</xdr:colOff>
          <xdr:row>18</xdr:row>
          <xdr:rowOff>142875</xdr:rowOff>
        </xdr:from>
        <xdr:to>
          <xdr:col>9</xdr:col>
          <xdr:colOff>1038225</xdr:colOff>
          <xdr:row>20</xdr:row>
          <xdr:rowOff>19050</xdr:rowOff>
        </xdr:to>
        <xdr:sp macro="" textlink="">
          <xdr:nvSpPr>
            <xdr:cNvPr id="19460" name="Label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838200</xdr:colOff>
          <xdr:row>3</xdr:row>
          <xdr:rowOff>152400</xdr:rowOff>
        </xdr:from>
        <xdr:to>
          <xdr:col>14</xdr:col>
          <xdr:colOff>962025</xdr:colOff>
          <xdr:row>5</xdr:row>
          <xdr:rowOff>57150</xdr:rowOff>
        </xdr:to>
        <xdr:sp macro="" textlink="">
          <xdr:nvSpPr>
            <xdr:cNvPr id="19461" name="Label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962025</xdr:colOff>
          <xdr:row>19</xdr:row>
          <xdr:rowOff>28575</xdr:rowOff>
        </xdr:from>
        <xdr:to>
          <xdr:col>14</xdr:col>
          <xdr:colOff>981075</xdr:colOff>
          <xdr:row>20</xdr:row>
          <xdr:rowOff>85725</xdr:rowOff>
        </xdr:to>
        <xdr:sp macro="" textlink="">
          <xdr:nvSpPr>
            <xdr:cNvPr id="19462" name="Label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1057275</xdr:colOff>
          <xdr:row>47</xdr:row>
          <xdr:rowOff>0</xdr:rowOff>
        </xdr:from>
        <xdr:to>
          <xdr:col>3</xdr:col>
          <xdr:colOff>1104900</xdr:colOff>
          <xdr:row>52</xdr:row>
          <xdr:rowOff>66675</xdr:rowOff>
        </xdr:to>
        <xdr:sp macro="" textlink="">
          <xdr:nvSpPr>
            <xdr:cNvPr id="19463" name="Label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800100</xdr:colOff>
          <xdr:row>47</xdr:row>
          <xdr:rowOff>142875</xdr:rowOff>
        </xdr:from>
        <xdr:to>
          <xdr:col>8</xdr:col>
          <xdr:colOff>742950</xdr:colOff>
          <xdr:row>53</xdr:row>
          <xdr:rowOff>66675</xdr:rowOff>
        </xdr:to>
        <xdr:sp macro="" textlink="">
          <xdr:nvSpPr>
            <xdr:cNvPr id="19464" name="Label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46</xdr:row>
          <xdr:rowOff>95250</xdr:rowOff>
        </xdr:from>
        <xdr:to>
          <xdr:col>13</xdr:col>
          <xdr:colOff>142875</xdr:colOff>
          <xdr:row>52</xdr:row>
          <xdr:rowOff>104775</xdr:rowOff>
        </xdr:to>
        <xdr:sp macro="" textlink="">
          <xdr:nvSpPr>
            <xdr:cNvPr id="19465" name="Label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1266825</xdr:colOff>
          <xdr:row>60</xdr:row>
          <xdr:rowOff>133350</xdr:rowOff>
        </xdr:from>
        <xdr:to>
          <xdr:col>3</xdr:col>
          <xdr:colOff>495300</xdr:colOff>
          <xdr:row>64</xdr:row>
          <xdr:rowOff>76200</xdr:rowOff>
        </xdr:to>
        <xdr:sp macro="" textlink="">
          <xdr:nvSpPr>
            <xdr:cNvPr id="19466" name="Label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1171575</xdr:colOff>
          <xdr:row>49</xdr:row>
          <xdr:rowOff>171450</xdr:rowOff>
        </xdr:from>
        <xdr:to>
          <xdr:col>4</xdr:col>
          <xdr:colOff>1047750</xdr:colOff>
          <xdr:row>51</xdr:row>
          <xdr:rowOff>57150</xdr:rowOff>
        </xdr:to>
        <xdr:sp macro="" textlink="">
          <xdr:nvSpPr>
            <xdr:cNvPr id="19467" name="Label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50</xdr:row>
          <xdr:rowOff>0</xdr:rowOff>
        </xdr:from>
        <xdr:to>
          <xdr:col>9</xdr:col>
          <xdr:colOff>1057275</xdr:colOff>
          <xdr:row>51</xdr:row>
          <xdr:rowOff>104775</xdr:rowOff>
        </xdr:to>
        <xdr:sp macro="" textlink="">
          <xdr:nvSpPr>
            <xdr:cNvPr id="19468" name="Label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981075</xdr:colOff>
          <xdr:row>49</xdr:row>
          <xdr:rowOff>152400</xdr:rowOff>
        </xdr:from>
        <xdr:to>
          <xdr:col>14</xdr:col>
          <xdr:colOff>942975</xdr:colOff>
          <xdr:row>51</xdr:row>
          <xdr:rowOff>28575</xdr:rowOff>
        </xdr:to>
        <xdr:sp macro="" textlink="">
          <xdr:nvSpPr>
            <xdr:cNvPr id="19469" name="Label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378198</xdr:colOff>
      <xdr:row>24</xdr:row>
      <xdr:rowOff>88714</xdr:rowOff>
    </xdr:from>
    <xdr:to>
      <xdr:col>5</xdr:col>
      <xdr:colOff>916080</xdr:colOff>
      <xdr:row>38</xdr:row>
      <xdr:rowOff>167155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463177</xdr:colOff>
      <xdr:row>24</xdr:row>
      <xdr:rowOff>68169</xdr:rowOff>
    </xdr:from>
    <xdr:to>
      <xdr:col>11</xdr:col>
      <xdr:colOff>1001059</xdr:colOff>
      <xdr:row>38</xdr:row>
      <xdr:rowOff>146610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409949</xdr:colOff>
      <xdr:row>24</xdr:row>
      <xdr:rowOff>47625</xdr:rowOff>
    </xdr:from>
    <xdr:to>
      <xdr:col>16</xdr:col>
      <xdr:colOff>947831</xdr:colOff>
      <xdr:row>38</xdr:row>
      <xdr:rowOff>126066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421155</xdr:colOff>
      <xdr:row>39</xdr:row>
      <xdr:rowOff>18676</xdr:rowOff>
    </xdr:from>
    <xdr:to>
      <xdr:col>16</xdr:col>
      <xdr:colOff>959037</xdr:colOff>
      <xdr:row>53</xdr:row>
      <xdr:rowOff>97117</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463177</xdr:colOff>
      <xdr:row>39</xdr:row>
      <xdr:rowOff>36419</xdr:rowOff>
    </xdr:from>
    <xdr:to>
      <xdr:col>11</xdr:col>
      <xdr:colOff>1001059</xdr:colOff>
      <xdr:row>53</xdr:row>
      <xdr:rowOff>114860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376331</xdr:colOff>
      <xdr:row>39</xdr:row>
      <xdr:rowOff>79375</xdr:rowOff>
    </xdr:from>
    <xdr:to>
      <xdr:col>5</xdr:col>
      <xdr:colOff>914213</xdr:colOff>
      <xdr:row>53</xdr:row>
      <xdr:rowOff>157816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358589</xdr:colOff>
      <xdr:row>84</xdr:row>
      <xdr:rowOff>156883</xdr:rowOff>
    </xdr:from>
    <xdr:to>
      <xdr:col>5</xdr:col>
      <xdr:colOff>896471</xdr:colOff>
      <xdr:row>99</xdr:row>
      <xdr:rowOff>44824</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537883</xdr:colOff>
      <xdr:row>84</xdr:row>
      <xdr:rowOff>145677</xdr:rowOff>
    </xdr:from>
    <xdr:to>
      <xdr:col>11</xdr:col>
      <xdr:colOff>1075765</xdr:colOff>
      <xdr:row>99</xdr:row>
      <xdr:rowOff>33618</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425823</xdr:colOff>
      <xdr:row>84</xdr:row>
      <xdr:rowOff>168088</xdr:rowOff>
    </xdr:from>
    <xdr:to>
      <xdr:col>16</xdr:col>
      <xdr:colOff>963705</xdr:colOff>
      <xdr:row>99</xdr:row>
      <xdr:rowOff>56029</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403411</xdr:colOff>
      <xdr:row>100</xdr:row>
      <xdr:rowOff>89649</xdr:rowOff>
    </xdr:from>
    <xdr:to>
      <xdr:col>5</xdr:col>
      <xdr:colOff>941293</xdr:colOff>
      <xdr:row>114</xdr:row>
      <xdr:rowOff>168090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526677</xdr:colOff>
      <xdr:row>100</xdr:row>
      <xdr:rowOff>100853</xdr:rowOff>
    </xdr:from>
    <xdr:to>
      <xdr:col>11</xdr:col>
      <xdr:colOff>1064559</xdr:colOff>
      <xdr:row>114</xdr:row>
      <xdr:rowOff>179294</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437028</xdr:colOff>
      <xdr:row>100</xdr:row>
      <xdr:rowOff>78442</xdr:rowOff>
    </xdr:from>
    <xdr:to>
      <xdr:col>16</xdr:col>
      <xdr:colOff>974910</xdr:colOff>
      <xdr:row>114</xdr:row>
      <xdr:rowOff>156883</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366993</xdr:colOff>
      <xdr:row>54</xdr:row>
      <xdr:rowOff>31750</xdr:rowOff>
    </xdr:from>
    <xdr:to>
      <xdr:col>5</xdr:col>
      <xdr:colOff>904875</xdr:colOff>
      <xdr:row>68</xdr:row>
      <xdr:rowOff>107950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463177</xdr:colOff>
      <xdr:row>53</xdr:row>
      <xdr:rowOff>179294</xdr:rowOff>
    </xdr:from>
    <xdr:to>
      <xdr:col>11</xdr:col>
      <xdr:colOff>1001059</xdr:colOff>
      <xdr:row>68</xdr:row>
      <xdr:rowOff>64994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437030</xdr:colOff>
      <xdr:row>53</xdr:row>
      <xdr:rowOff>158750</xdr:rowOff>
    </xdr:from>
    <xdr:to>
      <xdr:col>16</xdr:col>
      <xdr:colOff>974912</xdr:colOff>
      <xdr:row>68</xdr:row>
      <xdr:rowOff>44450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403412</xdr:colOff>
      <xdr:row>69</xdr:row>
      <xdr:rowOff>56029</xdr:rowOff>
    </xdr:from>
    <xdr:to>
      <xdr:col>5</xdr:col>
      <xdr:colOff>941294</xdr:colOff>
      <xdr:row>83</xdr:row>
      <xdr:rowOff>132229</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537882</xdr:colOff>
      <xdr:row>69</xdr:row>
      <xdr:rowOff>67235</xdr:rowOff>
    </xdr:from>
    <xdr:to>
      <xdr:col>11</xdr:col>
      <xdr:colOff>1075764</xdr:colOff>
      <xdr:row>83</xdr:row>
      <xdr:rowOff>143435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437029</xdr:colOff>
      <xdr:row>69</xdr:row>
      <xdr:rowOff>0</xdr:rowOff>
    </xdr:from>
    <xdr:to>
      <xdr:col>16</xdr:col>
      <xdr:colOff>974911</xdr:colOff>
      <xdr:row>83</xdr:row>
      <xdr:rowOff>76200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1142999</xdr:colOff>
      <xdr:row>1</xdr:row>
      <xdr:rowOff>11206</xdr:rowOff>
    </xdr:from>
    <xdr:to>
      <xdr:col>3</xdr:col>
      <xdr:colOff>57084</xdr:colOff>
      <xdr:row>2</xdr:row>
      <xdr:rowOff>144556</xdr:rowOff>
    </xdr:to>
    <xdr:pic>
      <xdr:nvPicPr>
        <xdr:cNvPr id="32"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1299881" y="280147"/>
          <a:ext cx="326027" cy="323850"/>
        </a:xfrm>
        <a:prstGeom prst="rect">
          <a:avLst/>
        </a:prstGeom>
        <a:noFill/>
      </xdr:spPr>
    </xdr:pic>
    <xdr:clientData fLocksWithSheet="0"/>
  </xdr:twoCellAnchor>
  <xdr:twoCellAnchor editAs="oneCell">
    <xdr:from>
      <xdr:col>7</xdr:col>
      <xdr:colOff>1109382</xdr:colOff>
      <xdr:row>1</xdr:row>
      <xdr:rowOff>0</xdr:rowOff>
    </xdr:from>
    <xdr:to>
      <xdr:col>9</xdr:col>
      <xdr:colOff>23468</xdr:colOff>
      <xdr:row>2</xdr:row>
      <xdr:rowOff>133350</xdr:rowOff>
    </xdr:to>
    <xdr:pic>
      <xdr:nvPicPr>
        <xdr:cNvPr id="33"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19" cstate="print"/>
        <a:srcRect/>
        <a:stretch>
          <a:fillRect/>
        </a:stretch>
      </xdr:blipFill>
      <xdr:spPr bwMode="auto">
        <a:xfrm>
          <a:off x="6869206" y="268941"/>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962025</xdr:colOff>
          <xdr:row>24</xdr:row>
          <xdr:rowOff>152400</xdr:rowOff>
        </xdr:from>
        <xdr:to>
          <xdr:col>5</xdr:col>
          <xdr:colOff>866775</xdr:colOff>
          <xdr:row>26</xdr:row>
          <xdr:rowOff>76200</xdr:rowOff>
        </xdr:to>
        <xdr:sp macro="" textlink="">
          <xdr:nvSpPr>
            <xdr:cNvPr id="22529" name="Label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40</xdr:row>
          <xdr:rowOff>104775</xdr:rowOff>
        </xdr:from>
        <xdr:to>
          <xdr:col>5</xdr:col>
          <xdr:colOff>800100</xdr:colOff>
          <xdr:row>41</xdr:row>
          <xdr:rowOff>171450</xdr:rowOff>
        </xdr:to>
        <xdr:sp macro="" textlink="">
          <xdr:nvSpPr>
            <xdr:cNvPr id="22530" name="Label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971550</xdr:colOff>
          <xdr:row>24</xdr:row>
          <xdr:rowOff>123825</xdr:rowOff>
        </xdr:from>
        <xdr:to>
          <xdr:col>11</xdr:col>
          <xdr:colOff>866775</xdr:colOff>
          <xdr:row>26</xdr:row>
          <xdr:rowOff>47625</xdr:rowOff>
        </xdr:to>
        <xdr:sp macro="" textlink="">
          <xdr:nvSpPr>
            <xdr:cNvPr id="22531" name="Label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40</xdr:row>
          <xdr:rowOff>85725</xdr:rowOff>
        </xdr:from>
        <xdr:to>
          <xdr:col>11</xdr:col>
          <xdr:colOff>942975</xdr:colOff>
          <xdr:row>41</xdr:row>
          <xdr:rowOff>142875</xdr:rowOff>
        </xdr:to>
        <xdr:sp macro="" textlink="">
          <xdr:nvSpPr>
            <xdr:cNvPr id="22532" name="Label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942975</xdr:colOff>
          <xdr:row>24</xdr:row>
          <xdr:rowOff>180975</xdr:rowOff>
        </xdr:from>
        <xdr:to>
          <xdr:col>16</xdr:col>
          <xdr:colOff>866775</xdr:colOff>
          <xdr:row>26</xdr:row>
          <xdr:rowOff>66675</xdr:rowOff>
        </xdr:to>
        <xdr:sp macro="" textlink="">
          <xdr:nvSpPr>
            <xdr:cNvPr id="22533" name="Label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990600</xdr:colOff>
          <xdr:row>40</xdr:row>
          <xdr:rowOff>38100</xdr:rowOff>
        </xdr:from>
        <xdr:to>
          <xdr:col>16</xdr:col>
          <xdr:colOff>923925</xdr:colOff>
          <xdr:row>41</xdr:row>
          <xdr:rowOff>142875</xdr:rowOff>
        </xdr:to>
        <xdr:sp macro="" textlink="">
          <xdr:nvSpPr>
            <xdr:cNvPr id="22534" name="Label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50</xdr:row>
          <xdr:rowOff>152400</xdr:rowOff>
        </xdr:from>
        <xdr:to>
          <xdr:col>4</xdr:col>
          <xdr:colOff>857250</xdr:colOff>
          <xdr:row>55</xdr:row>
          <xdr:rowOff>104775</xdr:rowOff>
        </xdr:to>
        <xdr:sp macro="" textlink="">
          <xdr:nvSpPr>
            <xdr:cNvPr id="22535" name="Label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752475</xdr:colOff>
          <xdr:row>50</xdr:row>
          <xdr:rowOff>161925</xdr:rowOff>
        </xdr:from>
        <xdr:to>
          <xdr:col>10</xdr:col>
          <xdr:colOff>66675</xdr:colOff>
          <xdr:row>55</xdr:row>
          <xdr:rowOff>66675</xdr:rowOff>
        </xdr:to>
        <xdr:sp macro="" textlink="">
          <xdr:nvSpPr>
            <xdr:cNvPr id="22536" name="Label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50</xdr:row>
          <xdr:rowOff>66675</xdr:rowOff>
        </xdr:from>
        <xdr:to>
          <xdr:col>14</xdr:col>
          <xdr:colOff>971550</xdr:colOff>
          <xdr:row>55</xdr:row>
          <xdr:rowOff>76200</xdr:rowOff>
        </xdr:to>
        <xdr:sp macro="" textlink="">
          <xdr:nvSpPr>
            <xdr:cNvPr id="22537" name="Label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1095375</xdr:colOff>
          <xdr:row>63</xdr:row>
          <xdr:rowOff>28575</xdr:rowOff>
        </xdr:from>
        <xdr:to>
          <xdr:col>4</xdr:col>
          <xdr:colOff>990600</xdr:colOff>
          <xdr:row>68</xdr:row>
          <xdr:rowOff>28575</xdr:rowOff>
        </xdr:to>
        <xdr:sp macro="" textlink="">
          <xdr:nvSpPr>
            <xdr:cNvPr id="22538" name="Label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1123950</xdr:colOff>
          <xdr:row>70</xdr:row>
          <xdr:rowOff>38100</xdr:rowOff>
        </xdr:from>
        <xdr:to>
          <xdr:col>5</xdr:col>
          <xdr:colOff>847725</xdr:colOff>
          <xdr:row>71</xdr:row>
          <xdr:rowOff>104775</xdr:rowOff>
        </xdr:to>
        <xdr:sp macro="" textlink="">
          <xdr:nvSpPr>
            <xdr:cNvPr id="22539" name="Label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1219200</xdr:colOff>
          <xdr:row>70</xdr:row>
          <xdr:rowOff>38100</xdr:rowOff>
        </xdr:from>
        <xdr:to>
          <xdr:col>11</xdr:col>
          <xdr:colOff>1028700</xdr:colOff>
          <xdr:row>71</xdr:row>
          <xdr:rowOff>66675</xdr:rowOff>
        </xdr:to>
        <xdr:sp macro="" textlink="">
          <xdr:nvSpPr>
            <xdr:cNvPr id="22540" name="Label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723900</xdr:colOff>
          <xdr:row>62</xdr:row>
          <xdr:rowOff>142875</xdr:rowOff>
        </xdr:from>
        <xdr:to>
          <xdr:col>10</xdr:col>
          <xdr:colOff>190500</xdr:colOff>
          <xdr:row>68</xdr:row>
          <xdr:rowOff>57150</xdr:rowOff>
        </xdr:to>
        <xdr:sp macro="" textlink="">
          <xdr:nvSpPr>
            <xdr:cNvPr id="22541" name="Label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1304925</xdr:colOff>
          <xdr:row>62</xdr:row>
          <xdr:rowOff>180975</xdr:rowOff>
        </xdr:from>
        <xdr:to>
          <xdr:col>14</xdr:col>
          <xdr:colOff>819150</xdr:colOff>
          <xdr:row>68</xdr:row>
          <xdr:rowOff>28575</xdr:rowOff>
        </xdr:to>
        <xdr:sp macro="" textlink="">
          <xdr:nvSpPr>
            <xdr:cNvPr id="22542" name="Label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1104900</xdr:colOff>
          <xdr:row>70</xdr:row>
          <xdr:rowOff>47625</xdr:rowOff>
        </xdr:from>
        <xdr:to>
          <xdr:col>16</xdr:col>
          <xdr:colOff>904875</xdr:colOff>
          <xdr:row>71</xdr:row>
          <xdr:rowOff>104775</xdr:rowOff>
        </xdr:to>
        <xdr:sp macro="" textlink="">
          <xdr:nvSpPr>
            <xdr:cNvPr id="22543" name="Label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85725</xdr:colOff>
      <xdr:row>26</xdr:row>
      <xdr:rowOff>78443</xdr:rowOff>
    </xdr:from>
    <xdr:to>
      <xdr:col>5</xdr:col>
      <xdr:colOff>874059</xdr:colOff>
      <xdr:row>41</xdr:row>
      <xdr:rowOff>67236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92075</xdr:colOff>
      <xdr:row>26</xdr:row>
      <xdr:rowOff>73772</xdr:rowOff>
    </xdr:from>
    <xdr:to>
      <xdr:col>11</xdr:col>
      <xdr:colOff>934757</xdr:colOff>
      <xdr:row>41</xdr:row>
      <xdr:rowOff>73772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76200</xdr:colOff>
      <xdr:row>26</xdr:row>
      <xdr:rowOff>104776</xdr:rowOff>
    </xdr:from>
    <xdr:to>
      <xdr:col>18</xdr:col>
      <xdr:colOff>9525</xdr:colOff>
      <xdr:row>41</xdr:row>
      <xdr:rowOff>67237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76199</xdr:colOff>
      <xdr:row>42</xdr:row>
      <xdr:rowOff>123264</xdr:rowOff>
    </xdr:from>
    <xdr:to>
      <xdr:col>18</xdr:col>
      <xdr:colOff>19050</xdr:colOff>
      <xdr:row>59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104774</xdr:colOff>
      <xdr:row>42</xdr:row>
      <xdr:rowOff>123264</xdr:rowOff>
    </xdr:from>
    <xdr:to>
      <xdr:col>11</xdr:col>
      <xdr:colOff>930088</xdr:colOff>
      <xdr:row>58</xdr:row>
      <xdr:rowOff>145676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42</xdr:row>
      <xdr:rowOff>89647</xdr:rowOff>
    </xdr:from>
    <xdr:to>
      <xdr:col>5</xdr:col>
      <xdr:colOff>885265</xdr:colOff>
      <xdr:row>58</xdr:row>
      <xdr:rowOff>134471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112059</xdr:colOff>
      <xdr:row>9</xdr:row>
      <xdr:rowOff>67234</xdr:rowOff>
    </xdr:from>
    <xdr:to>
      <xdr:col>5</xdr:col>
      <xdr:colOff>874059</xdr:colOff>
      <xdr:row>24</xdr:row>
      <xdr:rowOff>134471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89647</xdr:colOff>
      <xdr:row>9</xdr:row>
      <xdr:rowOff>56029</xdr:rowOff>
    </xdr:from>
    <xdr:to>
      <xdr:col>11</xdr:col>
      <xdr:colOff>907677</xdr:colOff>
      <xdr:row>24</xdr:row>
      <xdr:rowOff>123266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78441</xdr:colOff>
      <xdr:row>9</xdr:row>
      <xdr:rowOff>56029</xdr:rowOff>
    </xdr:from>
    <xdr:to>
      <xdr:col>17</xdr:col>
      <xdr:colOff>963706</xdr:colOff>
      <xdr:row>24</xdr:row>
      <xdr:rowOff>123265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1042147</xdr:colOff>
      <xdr:row>20</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56030</xdr:colOff>
      <xdr:row>3</xdr:row>
      <xdr:rowOff>0</xdr:rowOff>
    </xdr:from>
    <xdr:to>
      <xdr:col>9</xdr:col>
      <xdr:colOff>1098177</xdr:colOff>
      <xdr:row>20</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78441</xdr:colOff>
      <xdr:row>2</xdr:row>
      <xdr:rowOff>134470</xdr:rowOff>
    </xdr:from>
    <xdr:to>
      <xdr:col>14</xdr:col>
      <xdr:colOff>1120588</xdr:colOff>
      <xdr:row>20</xdr:row>
      <xdr:rowOff>53788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4</xdr:col>
      <xdr:colOff>1042147</xdr:colOff>
      <xdr:row>38</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56029</xdr:colOff>
      <xdr:row>20</xdr:row>
      <xdr:rowOff>134472</xdr:rowOff>
    </xdr:from>
    <xdr:to>
      <xdr:col>9</xdr:col>
      <xdr:colOff>1098176</xdr:colOff>
      <xdr:row>38</xdr:row>
      <xdr:rowOff>53789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67235</xdr:colOff>
      <xdr:row>20</xdr:row>
      <xdr:rowOff>145677</xdr:rowOff>
    </xdr:from>
    <xdr:to>
      <xdr:col>14</xdr:col>
      <xdr:colOff>1109382</xdr:colOff>
      <xdr:row>38</xdr:row>
      <xdr:rowOff>64994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941294</xdr:colOff>
      <xdr:row>20</xdr:row>
      <xdr:rowOff>121023</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123265</xdr:colOff>
      <xdr:row>6</xdr:row>
      <xdr:rowOff>190501</xdr:rowOff>
    </xdr:from>
    <xdr:to>
      <xdr:col>11</xdr:col>
      <xdr:colOff>1064559</xdr:colOff>
      <xdr:row>20</xdr:row>
      <xdr:rowOff>109818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56030</xdr:colOff>
      <xdr:row>6</xdr:row>
      <xdr:rowOff>190501</xdr:rowOff>
    </xdr:from>
    <xdr:to>
      <xdr:col>16</xdr:col>
      <xdr:colOff>997324</xdr:colOff>
      <xdr:row>20</xdr:row>
      <xdr:rowOff>109818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41462</xdr:colOff>
      <xdr:row>22</xdr:row>
      <xdr:rowOff>54349</xdr:rowOff>
    </xdr:from>
    <xdr:to>
      <xdr:col>5</xdr:col>
      <xdr:colOff>982756</xdr:colOff>
      <xdr:row>36</xdr:row>
      <xdr:rowOff>130549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112059</xdr:colOff>
      <xdr:row>22</xdr:row>
      <xdr:rowOff>0</xdr:rowOff>
    </xdr:from>
    <xdr:to>
      <xdr:col>11</xdr:col>
      <xdr:colOff>1053353</xdr:colOff>
      <xdr:row>36</xdr:row>
      <xdr:rowOff>76200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67235</xdr:colOff>
      <xdr:row>22</xdr:row>
      <xdr:rowOff>11206</xdr:rowOff>
    </xdr:from>
    <xdr:to>
      <xdr:col>16</xdr:col>
      <xdr:colOff>1008529</xdr:colOff>
      <xdr:row>36</xdr:row>
      <xdr:rowOff>87406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1057276</xdr:colOff>
      <xdr:row>2</xdr:row>
      <xdr:rowOff>0</xdr:rowOff>
    </xdr:from>
    <xdr:to>
      <xdr:col>3</xdr:col>
      <xdr:colOff>11703</xdr:colOff>
      <xdr:row>2</xdr:row>
      <xdr:rowOff>323850</xdr:rowOff>
    </xdr:to>
    <xdr:pic>
      <xdr:nvPicPr>
        <xdr:cNvPr id="1434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09676" y="20002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11"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267450" y="200025"/>
          <a:ext cx="326027" cy="3238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xdr:from>
          <xdr:col>4</xdr:col>
          <xdr:colOff>1028700</xdr:colOff>
          <xdr:row>7</xdr:row>
          <xdr:rowOff>76200</xdr:rowOff>
        </xdr:from>
        <xdr:to>
          <xdr:col>5</xdr:col>
          <xdr:colOff>866775</xdr:colOff>
          <xdr:row>8</xdr:row>
          <xdr:rowOff>114300</xdr:rowOff>
        </xdr:to>
        <xdr:sp macro="" textlink="">
          <xdr:nvSpPr>
            <xdr:cNvPr id="14337" name="Label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1104900</xdr:colOff>
          <xdr:row>22</xdr:row>
          <xdr:rowOff>171450</xdr:rowOff>
        </xdr:from>
        <xdr:to>
          <xdr:col>5</xdr:col>
          <xdr:colOff>904875</xdr:colOff>
          <xdr:row>24</xdr:row>
          <xdr:rowOff>28575</xdr:rowOff>
        </xdr:to>
        <xdr:sp macro="" textlink="">
          <xdr:nvSpPr>
            <xdr:cNvPr id="14338" name="Label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1152525</xdr:colOff>
          <xdr:row>7</xdr:row>
          <xdr:rowOff>104775</xdr:rowOff>
        </xdr:from>
        <xdr:to>
          <xdr:col>11</xdr:col>
          <xdr:colOff>952500</xdr:colOff>
          <xdr:row>8</xdr:row>
          <xdr:rowOff>114300</xdr:rowOff>
        </xdr:to>
        <xdr:sp macro="" textlink="">
          <xdr:nvSpPr>
            <xdr:cNvPr id="14339" name="Label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xdr:row>
          <xdr:rowOff>66675</xdr:rowOff>
        </xdr:from>
        <xdr:to>
          <xdr:col>11</xdr:col>
          <xdr:colOff>1028700</xdr:colOff>
          <xdr:row>23</xdr:row>
          <xdr:rowOff>104775</xdr:rowOff>
        </xdr:to>
        <xdr:sp macro="" textlink="">
          <xdr:nvSpPr>
            <xdr:cNvPr id="14340" name="Label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1009650</xdr:colOff>
          <xdr:row>7</xdr:row>
          <xdr:rowOff>66675</xdr:rowOff>
        </xdr:from>
        <xdr:to>
          <xdr:col>16</xdr:col>
          <xdr:colOff>914400</xdr:colOff>
          <xdr:row>8</xdr:row>
          <xdr:rowOff>104775</xdr:rowOff>
        </xdr:to>
        <xdr:sp macro="" textlink="">
          <xdr:nvSpPr>
            <xdr:cNvPr id="14341" name="Label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57150</xdr:rowOff>
        </xdr:from>
        <xdr:to>
          <xdr:col>16</xdr:col>
          <xdr:colOff>981075</xdr:colOff>
          <xdr:row>24</xdr:row>
          <xdr:rowOff>104775</xdr:rowOff>
        </xdr:to>
        <xdr:sp macro="" textlink="">
          <xdr:nvSpPr>
            <xdr:cNvPr id="14342" name="Label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44077</xdr:colOff>
      <xdr:row>22</xdr:row>
      <xdr:rowOff>87780</xdr:rowOff>
    </xdr:from>
    <xdr:to>
      <xdr:col>5</xdr:col>
      <xdr:colOff>1072777</xdr:colOff>
      <xdr:row>36</xdr:row>
      <xdr:rowOff>163980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84044</xdr:colOff>
      <xdr:row>38</xdr:row>
      <xdr:rowOff>32497</xdr:rowOff>
    </xdr:from>
    <xdr:to>
      <xdr:col>5</xdr:col>
      <xdr:colOff>1112744</xdr:colOff>
      <xdr:row>53</xdr:row>
      <xdr:rowOff>165848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66675</xdr:colOff>
      <xdr:row>22</xdr:row>
      <xdr:rowOff>86286</xdr:rowOff>
    </xdr:from>
    <xdr:to>
      <xdr:col>11</xdr:col>
      <xdr:colOff>1095375</xdr:colOff>
      <xdr:row>36</xdr:row>
      <xdr:rowOff>162486</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39781</xdr:colOff>
      <xdr:row>38</xdr:row>
      <xdr:rowOff>28013</xdr:rowOff>
    </xdr:from>
    <xdr:to>
      <xdr:col>11</xdr:col>
      <xdr:colOff>1068481</xdr:colOff>
      <xdr:row>53</xdr:row>
      <xdr:rowOff>151838</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66862</xdr:colOff>
      <xdr:row>22</xdr:row>
      <xdr:rowOff>84791</xdr:rowOff>
    </xdr:from>
    <xdr:to>
      <xdr:col>16</xdr:col>
      <xdr:colOff>1095562</xdr:colOff>
      <xdr:row>36</xdr:row>
      <xdr:rowOff>160991</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44825</xdr:colOff>
      <xdr:row>38</xdr:row>
      <xdr:rowOff>32685</xdr:rowOff>
    </xdr:from>
    <xdr:to>
      <xdr:col>16</xdr:col>
      <xdr:colOff>1073525</xdr:colOff>
      <xdr:row>53</xdr:row>
      <xdr:rowOff>127935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1057275</xdr:colOff>
      <xdr:row>1</xdr:row>
      <xdr:rowOff>180975</xdr:rowOff>
    </xdr:from>
    <xdr:to>
      <xdr:col>3</xdr:col>
      <xdr:colOff>2177</xdr:colOff>
      <xdr:row>2</xdr:row>
      <xdr:rowOff>314325</xdr:rowOff>
    </xdr:to>
    <xdr:pic>
      <xdr:nvPicPr>
        <xdr:cNvPr id="8"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1295400" y="180975"/>
          <a:ext cx="326027" cy="323850"/>
        </a:xfrm>
        <a:prstGeom prst="rect">
          <a:avLst/>
        </a:prstGeom>
        <a:noFill/>
      </xdr:spPr>
    </xdr:pic>
    <xdr:clientData fLocksWithSheet="0"/>
  </xdr:twoCellAnchor>
  <xdr:twoCellAnchor editAs="oneCell">
    <xdr:from>
      <xdr:col>7</xdr:col>
      <xdr:colOff>1047750</xdr:colOff>
      <xdr:row>2</xdr:row>
      <xdr:rowOff>0</xdr:rowOff>
    </xdr:from>
    <xdr:to>
      <xdr:col>9</xdr:col>
      <xdr:colOff>2177</xdr:colOff>
      <xdr:row>2</xdr:row>
      <xdr:rowOff>323850</xdr:rowOff>
    </xdr:to>
    <xdr:pic>
      <xdr:nvPicPr>
        <xdr:cNvPr id="9" name="Picture 13" descr="C:\Users\Owner\AppData\Local\Microsoft\Windows\Temporary Internet Files\Content.IE5\NF71QAZM\MC900110849[1].wmf"/>
        <xdr:cNvPicPr>
          <a:picLocks noChangeAspect="1" noChangeArrowheads="1"/>
        </xdr:cNvPicPr>
      </xdr:nvPicPr>
      <xdr:blipFill>
        <a:blip xmlns:r="http://schemas.openxmlformats.org/officeDocument/2006/relationships" r:embed="rId7" cstate="print"/>
        <a:srcRect/>
        <a:stretch>
          <a:fillRect/>
        </a:stretch>
      </xdr:blipFill>
      <xdr:spPr bwMode="auto">
        <a:xfrm>
          <a:off x="6362700" y="190500"/>
          <a:ext cx="326027" cy="323850"/>
        </a:xfrm>
        <a:prstGeom prst="rect">
          <a:avLst/>
        </a:prstGeom>
        <a:noFill/>
      </xdr:spPr>
    </xdr:pic>
    <xdr:clientData fLocksWithSheet="0"/>
  </xdr:twoCellAnchor>
  <xdr:twoCellAnchor>
    <xdr:from>
      <xdr:col>1</xdr:col>
      <xdr:colOff>80683</xdr:colOff>
      <xdr:row>6</xdr:row>
      <xdr:rowOff>127374</xdr:rowOff>
    </xdr:from>
    <xdr:to>
      <xdr:col>5</xdr:col>
      <xdr:colOff>1080808</xdr:colOff>
      <xdr:row>21</xdr:row>
      <xdr:rowOff>13074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93756</xdr:colOff>
      <xdr:row>6</xdr:row>
      <xdr:rowOff>117662</xdr:rowOff>
    </xdr:from>
    <xdr:to>
      <xdr:col>11</xdr:col>
      <xdr:colOff>1084356</xdr:colOff>
      <xdr:row>21</xdr:row>
      <xdr:rowOff>3362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76387</xdr:colOff>
      <xdr:row>6</xdr:row>
      <xdr:rowOff>137085</xdr:rowOff>
    </xdr:from>
    <xdr:to>
      <xdr:col>16</xdr:col>
      <xdr:colOff>1105087</xdr:colOff>
      <xdr:row>21</xdr:row>
      <xdr:rowOff>22785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5</xdr:col>
          <xdr:colOff>57150</xdr:colOff>
          <xdr:row>6</xdr:row>
          <xdr:rowOff>180975</xdr:rowOff>
        </xdr:from>
        <xdr:to>
          <xdr:col>5</xdr:col>
          <xdr:colOff>1028700</xdr:colOff>
          <xdr:row>8</xdr:row>
          <xdr:rowOff>104775</xdr:rowOff>
        </xdr:to>
        <xdr:sp macro="" textlink="">
          <xdr:nvSpPr>
            <xdr:cNvPr id="23557" name="Label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800100</xdr:colOff>
          <xdr:row>6</xdr:row>
          <xdr:rowOff>180975</xdr:rowOff>
        </xdr:from>
        <xdr:to>
          <xdr:col>11</xdr:col>
          <xdr:colOff>1009650</xdr:colOff>
          <xdr:row>8</xdr:row>
          <xdr:rowOff>104775</xdr:rowOff>
        </xdr:to>
        <xdr:sp macro="" textlink="">
          <xdr:nvSpPr>
            <xdr:cNvPr id="23558" name="Label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1143000</xdr:colOff>
          <xdr:row>7</xdr:row>
          <xdr:rowOff>38100</xdr:rowOff>
        </xdr:from>
        <xdr:to>
          <xdr:col>16</xdr:col>
          <xdr:colOff>933450</xdr:colOff>
          <xdr:row>8</xdr:row>
          <xdr:rowOff>152400</xdr:rowOff>
        </xdr:to>
        <xdr:sp macro="" textlink="">
          <xdr:nvSpPr>
            <xdr:cNvPr id="23559" name="Label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0.68958</cdr:x>
      <cdr:y>0.03125</cdr:y>
    </cdr:from>
    <cdr:to>
      <cdr:x>0.95833</cdr:x>
      <cdr:y>0.19097</cdr:y>
    </cdr:to>
    <cdr:sp macro="" textlink="">
      <cdr:nvSpPr>
        <cdr:cNvPr id="2" name="TextBox 1"/>
        <cdr:cNvSpPr txBox="1"/>
      </cdr:nvSpPr>
      <cdr:spPr>
        <a:xfrm xmlns:a="http://schemas.openxmlformats.org/drawingml/2006/main">
          <a:off x="3152775" y="85725"/>
          <a:ext cx="122872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0.70582</cdr:x>
      <cdr:y>7.65529E-6</cdr:y>
    </cdr:from>
    <cdr:to>
      <cdr:x>1</cdr:x>
      <cdr:y>0.14237</cdr:y>
    </cdr:to>
    <cdr:sp macro="" textlink="Formulas!$T$26">
      <cdr:nvSpPr>
        <cdr:cNvPr id="3" name="TextBox 2"/>
        <cdr:cNvSpPr txBox="1"/>
      </cdr:nvSpPr>
      <cdr:spPr>
        <a:xfrm xmlns:a="http://schemas.openxmlformats.org/drawingml/2006/main">
          <a:off x="3368190" y="21"/>
          <a:ext cx="1403835" cy="390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DBC709-444D-41BF-95E8-0182979AF6D3}"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0.72187</cdr:x>
      <cdr:y>0.0414</cdr:y>
    </cdr:from>
    <cdr:to>
      <cdr:x>0.99687</cdr:x>
      <cdr:y>0.17197</cdr:y>
    </cdr:to>
    <cdr:sp macro="" textlink="Formulas!$T$32">
      <cdr:nvSpPr>
        <cdr:cNvPr id="5" name="TextBox 1"/>
        <cdr:cNvSpPr txBox="1"/>
      </cdr:nvSpPr>
      <cdr:spPr>
        <a:xfrm xmlns:a="http://schemas.openxmlformats.org/drawingml/2006/main">
          <a:off x="3444792" y="123828"/>
          <a:ext cx="1312307" cy="3905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BAC97BB2-CEF7-45DE-9C2E-B876AF38BF08}" type="TxLink">
            <a:rPr lang="en-US" sz="1400" b="1" i="1" u="none" strike="noStrike">
              <a:solidFill>
                <a:srgbClr val="FF0000"/>
              </a:solidFill>
              <a:latin typeface="Arial Narrow"/>
              <a:ea typeface="Verdana"/>
              <a:cs typeface="Verdana"/>
            </a:rPr>
            <a:pPr algn="ctr"/>
            <a:t> </a:t>
          </a:fld>
          <a:endParaRPr lang="en-US" sz="1400" b="1" i="1">
            <a:solidFill>
              <a:srgbClr val="FF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0.72059</cdr:x>
      <cdr:y>0</cdr:y>
    </cdr:from>
    <cdr:to>
      <cdr:x>0.99617</cdr:x>
      <cdr:y>0.13541</cdr:y>
    </cdr:to>
    <cdr:sp macro="" textlink="Formulas!$T$38">
      <cdr:nvSpPr>
        <cdr:cNvPr id="2" name="TextBox 1"/>
        <cdr:cNvSpPr txBox="1"/>
      </cdr:nvSpPr>
      <cdr:spPr>
        <a:xfrm xmlns:a="http://schemas.openxmlformats.org/drawingml/2006/main">
          <a:off x="3431810" y="0"/>
          <a:ext cx="1312450" cy="3714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7FD8E81C-A8CE-4A12-A730-85F574E21A7C}"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0.72225</cdr:x>
      <cdr:y>0.04059</cdr:y>
    </cdr:from>
    <cdr:to>
      <cdr:x>0.99725</cdr:x>
      <cdr:y>0.17477</cdr:y>
    </cdr:to>
    <cdr:sp macro="" textlink="Formulas!$T$44">
      <cdr:nvSpPr>
        <cdr:cNvPr id="2" name="TextBox 1"/>
        <cdr:cNvSpPr txBox="1"/>
      </cdr:nvSpPr>
      <cdr:spPr>
        <a:xfrm xmlns:a="http://schemas.openxmlformats.org/drawingml/2006/main">
          <a:off x="3439716" y="121011"/>
          <a:ext cx="1309687" cy="4000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2692EF9C-E9B8-4CD6-B842-0F72FDCD132B}" type="TxLink">
            <a:rPr lang="en-US" sz="1400" b="1" i="1" u="none" strike="noStrike">
              <a:solidFill>
                <a:srgbClr val="FF0000"/>
              </a:solidFill>
              <a:latin typeface="Arial Narrow"/>
              <a:ea typeface="Verdana"/>
              <a:cs typeface="Verdana"/>
            </a:rPr>
            <a:pPr algn="ctr"/>
            <a:t> </a:t>
          </a:fld>
          <a:endParaRPr lang="en-US" sz="1200" b="1" i="1">
            <a:solidFill>
              <a:srgbClr val="FF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12.vml"/><Relationship Id="rId7" Type="http://schemas.openxmlformats.org/officeDocument/2006/relationships/ctrlProp" Target="../ctrlProps/ctrlProp12.xml"/><Relationship Id="rId2" Type="http://schemas.openxmlformats.org/officeDocument/2006/relationships/drawing" Target="../drawings/drawing12.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14.vml"/><Relationship Id="rId7" Type="http://schemas.openxmlformats.org/officeDocument/2006/relationships/ctrlProp" Target="../ctrlProps/ctrlProp15.xml"/><Relationship Id="rId2" Type="http://schemas.openxmlformats.org/officeDocument/2006/relationships/drawing" Target="../drawings/drawing13.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5.v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16.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14.xml"/><Relationship Id="rId16" Type="http://schemas.openxmlformats.org/officeDocument/2006/relationships/ctrlProp" Target="../ctrlProps/ctrlProp27.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17.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18.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15.xml"/><Relationship Id="rId16" Type="http://schemas.openxmlformats.org/officeDocument/2006/relationships/ctrlProp" Target="../ctrlProps/ctrlProp40.xml"/><Relationship Id="rId20" Type="http://schemas.openxmlformats.org/officeDocument/2006/relationships/comments" Target="../comments5.xml"/><Relationship Id="rId1" Type="http://schemas.openxmlformats.org/officeDocument/2006/relationships/printerSettings" Target="../printerSettings/printerSettings13.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vmlDrawing" Target="../drawings/vmlDrawing19.v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8.vml"/><Relationship Id="rId7" Type="http://schemas.openxmlformats.org/officeDocument/2006/relationships/ctrlProp" Target="../ctrlProps/ctrlProp3.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9.vml"/><Relationship Id="rId9"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10.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H129"/>
  <sheetViews>
    <sheetView showGridLines="0" tabSelected="1" view="pageLayout" zoomScaleNormal="100" workbookViewId="0">
      <selection activeCell="A2" sqref="A2:H10"/>
    </sheetView>
  </sheetViews>
  <sheetFormatPr defaultColWidth="0" defaultRowHeight="16.5" customHeight="1" zeroHeight="1" x14ac:dyDescent="0.3"/>
  <cols>
    <col min="1" max="8" width="8.796875" style="215" customWidth="1"/>
    <col min="9" max="16384" width="8.796875" style="215" hidden="1"/>
  </cols>
  <sheetData>
    <row r="1" spans="1:8" ht="16.5" customHeight="1" x14ac:dyDescent="0.3">
      <c r="A1" s="391"/>
      <c r="B1" s="391"/>
      <c r="C1" s="391"/>
      <c r="D1" s="391"/>
      <c r="E1" s="391"/>
      <c r="F1" s="391"/>
      <c r="G1" s="391"/>
      <c r="H1" s="391"/>
    </row>
    <row r="2" spans="1:8" s="214" customFormat="1" ht="16.5" customHeight="1" x14ac:dyDescent="0.3">
      <c r="A2" s="393" t="s">
        <v>263</v>
      </c>
      <c r="B2" s="393"/>
      <c r="C2" s="393"/>
      <c r="D2" s="393"/>
      <c r="E2" s="393"/>
      <c r="F2" s="393"/>
      <c r="G2" s="393"/>
      <c r="H2" s="393"/>
    </row>
    <row r="3" spans="1:8" s="214" customFormat="1" ht="16.5" customHeight="1" x14ac:dyDescent="0.3">
      <c r="A3" s="393"/>
      <c r="B3" s="393"/>
      <c r="C3" s="393"/>
      <c r="D3" s="393"/>
      <c r="E3" s="393"/>
      <c r="F3" s="393"/>
      <c r="G3" s="393"/>
      <c r="H3" s="393"/>
    </row>
    <row r="4" spans="1:8" s="214" customFormat="1" ht="16.5" customHeight="1" x14ac:dyDescent="0.3">
      <c r="A4" s="393"/>
      <c r="B4" s="393"/>
      <c r="C4" s="393"/>
      <c r="D4" s="393"/>
      <c r="E4" s="393"/>
      <c r="F4" s="393"/>
      <c r="G4" s="393"/>
      <c r="H4" s="393"/>
    </row>
    <row r="5" spans="1:8" s="214" customFormat="1" ht="16.5" customHeight="1" x14ac:dyDescent="0.3">
      <c r="A5" s="393"/>
      <c r="B5" s="393"/>
      <c r="C5" s="393"/>
      <c r="D5" s="393"/>
      <c r="E5" s="393"/>
      <c r="F5" s="393"/>
      <c r="G5" s="393"/>
      <c r="H5" s="393"/>
    </row>
    <row r="6" spans="1:8" s="214" customFormat="1" ht="16.5" customHeight="1" x14ac:dyDescent="0.3">
      <c r="A6" s="393"/>
      <c r="B6" s="393"/>
      <c r="C6" s="393"/>
      <c r="D6" s="393"/>
      <c r="E6" s="393"/>
      <c r="F6" s="393"/>
      <c r="G6" s="393"/>
      <c r="H6" s="393"/>
    </row>
    <row r="7" spans="1:8" s="214" customFormat="1" ht="16.5" customHeight="1" x14ac:dyDescent="0.3">
      <c r="A7" s="393"/>
      <c r="B7" s="393"/>
      <c r="C7" s="393"/>
      <c r="D7" s="393"/>
      <c r="E7" s="393"/>
      <c r="F7" s="393"/>
      <c r="G7" s="393"/>
      <c r="H7" s="393"/>
    </row>
    <row r="8" spans="1:8" s="214" customFormat="1" ht="16.5" customHeight="1" x14ac:dyDescent="0.3">
      <c r="A8" s="393"/>
      <c r="B8" s="393"/>
      <c r="C8" s="393"/>
      <c r="D8" s="393"/>
      <c r="E8" s="393"/>
      <c r="F8" s="393"/>
      <c r="G8" s="393"/>
      <c r="H8" s="393"/>
    </row>
    <row r="9" spans="1:8" s="214" customFormat="1" ht="16.5" customHeight="1" x14ac:dyDescent="0.3">
      <c r="A9" s="393"/>
      <c r="B9" s="393"/>
      <c r="C9" s="393"/>
      <c r="D9" s="393"/>
      <c r="E9" s="393"/>
      <c r="F9" s="393"/>
      <c r="G9" s="393"/>
      <c r="H9" s="393"/>
    </row>
    <row r="10" spans="1:8" s="214" customFormat="1" ht="16.5" customHeight="1" x14ac:dyDescent="0.3">
      <c r="A10" s="393"/>
      <c r="B10" s="393"/>
      <c r="C10" s="393"/>
      <c r="D10" s="393"/>
      <c r="E10" s="393"/>
      <c r="F10" s="393"/>
      <c r="G10" s="393"/>
      <c r="H10" s="393"/>
    </row>
    <row r="11" spans="1:8" s="214" customFormat="1" ht="16.5" customHeight="1" x14ac:dyDescent="0.3">
      <c r="A11" s="223"/>
      <c r="B11" s="223"/>
      <c r="C11" s="223"/>
      <c r="D11" s="223"/>
      <c r="E11" s="223"/>
      <c r="F11" s="223"/>
      <c r="G11" s="223"/>
      <c r="H11" s="223"/>
    </row>
    <row r="12" spans="1:8" s="214" customFormat="1" ht="16.5" customHeight="1" x14ac:dyDescent="0.3">
      <c r="A12" s="392" t="s">
        <v>353</v>
      </c>
      <c r="B12" s="392"/>
      <c r="C12" s="392"/>
      <c r="D12" s="392"/>
      <c r="E12" s="392"/>
      <c r="F12" s="392"/>
      <c r="G12" s="392"/>
      <c r="H12" s="392"/>
    </row>
    <row r="13" spans="1:8" s="214" customFormat="1" ht="16.5" customHeight="1" x14ac:dyDescent="0.3">
      <c r="A13" s="392"/>
      <c r="B13" s="392"/>
      <c r="C13" s="392"/>
      <c r="D13" s="392"/>
      <c r="E13" s="392"/>
      <c r="F13" s="392"/>
      <c r="G13" s="392"/>
      <c r="H13" s="392"/>
    </row>
    <row r="14" spans="1:8" s="214" customFormat="1" ht="16.5" customHeight="1" x14ac:dyDescent="0.3">
      <c r="A14" s="392"/>
      <c r="B14" s="392"/>
      <c r="C14" s="392"/>
      <c r="D14" s="392"/>
      <c r="E14" s="392"/>
      <c r="F14" s="392"/>
      <c r="G14" s="392"/>
      <c r="H14" s="392"/>
    </row>
    <row r="15" spans="1:8" s="214" customFormat="1" ht="16.5" customHeight="1" x14ac:dyDescent="0.3">
      <c r="A15" s="392"/>
      <c r="B15" s="392"/>
      <c r="C15" s="392"/>
      <c r="D15" s="392"/>
      <c r="E15" s="392"/>
      <c r="F15" s="392"/>
      <c r="G15" s="392"/>
      <c r="H15" s="392"/>
    </row>
    <row r="16" spans="1:8" s="214" customFormat="1" ht="16.5" customHeight="1" x14ac:dyDescent="0.3">
      <c r="A16" s="392"/>
      <c r="B16" s="392"/>
      <c r="C16" s="392"/>
      <c r="D16" s="392"/>
      <c r="E16" s="392"/>
      <c r="F16" s="392"/>
      <c r="G16" s="392"/>
      <c r="H16" s="392"/>
    </row>
    <row r="17" spans="1:8" s="214" customFormat="1" ht="16.5" customHeight="1" x14ac:dyDescent="0.3">
      <c r="A17" s="392"/>
      <c r="B17" s="392"/>
      <c r="C17" s="392"/>
      <c r="D17" s="392"/>
      <c r="E17" s="392"/>
      <c r="F17" s="392"/>
      <c r="G17" s="392"/>
      <c r="H17" s="392"/>
    </row>
    <row r="18" spans="1:8" s="214" customFormat="1" ht="16.5" customHeight="1" x14ac:dyDescent="0.3">
      <c r="A18" s="392"/>
      <c r="B18" s="392"/>
      <c r="C18" s="392"/>
      <c r="D18" s="392"/>
      <c r="E18" s="392"/>
      <c r="F18" s="392"/>
      <c r="G18" s="392"/>
      <c r="H18" s="392"/>
    </row>
    <row r="19" spans="1:8" s="214" customFormat="1" ht="16.5" customHeight="1" x14ac:dyDescent="0.3">
      <c r="A19" s="392"/>
      <c r="B19" s="392"/>
      <c r="C19" s="392"/>
      <c r="D19" s="392"/>
      <c r="E19" s="392"/>
      <c r="F19" s="392"/>
      <c r="G19" s="392"/>
      <c r="H19" s="392"/>
    </row>
    <row r="20" spans="1:8" s="214" customFormat="1" ht="16.5" customHeight="1" x14ac:dyDescent="0.3">
      <c r="A20" s="392"/>
      <c r="B20" s="392"/>
      <c r="C20" s="392"/>
      <c r="D20" s="392"/>
      <c r="E20" s="392"/>
      <c r="F20" s="392"/>
      <c r="G20" s="392"/>
      <c r="H20" s="392"/>
    </row>
    <row r="21" spans="1:8" s="214" customFormat="1" ht="16.5" customHeight="1" x14ac:dyDescent="0.3">
      <c r="A21" s="392"/>
      <c r="B21" s="392"/>
      <c r="C21" s="392"/>
      <c r="D21" s="392"/>
      <c r="E21" s="392"/>
      <c r="F21" s="392"/>
      <c r="G21" s="392"/>
      <c r="H21" s="392"/>
    </row>
    <row r="22" spans="1:8" s="214" customFormat="1" ht="16.5" customHeight="1" x14ac:dyDescent="0.3">
      <c r="A22" s="392"/>
      <c r="B22" s="392"/>
      <c r="C22" s="392"/>
      <c r="D22" s="392"/>
      <c r="E22" s="392"/>
      <c r="F22" s="392"/>
      <c r="G22" s="392"/>
      <c r="H22" s="392"/>
    </row>
    <row r="23" spans="1:8" s="214" customFormat="1" ht="16.5" customHeight="1" x14ac:dyDescent="0.3">
      <c r="A23" s="392"/>
      <c r="B23" s="392"/>
      <c r="C23" s="392"/>
      <c r="D23" s="392"/>
      <c r="E23" s="392"/>
      <c r="F23" s="392"/>
      <c r="G23" s="392"/>
      <c r="H23" s="392"/>
    </row>
    <row r="24" spans="1:8" s="214" customFormat="1" ht="16.5" customHeight="1" x14ac:dyDescent="0.3">
      <c r="A24" s="392"/>
      <c r="B24" s="392"/>
      <c r="C24" s="392"/>
      <c r="D24" s="392"/>
      <c r="E24" s="392"/>
      <c r="F24" s="392"/>
      <c r="G24" s="392"/>
      <c r="H24" s="392"/>
    </row>
    <row r="25" spans="1:8" s="214" customFormat="1" ht="16.5" customHeight="1" x14ac:dyDescent="0.3">
      <c r="A25" s="392"/>
      <c r="B25" s="392"/>
      <c r="C25" s="392"/>
      <c r="D25" s="392"/>
      <c r="E25" s="392"/>
      <c r="F25" s="392"/>
      <c r="G25" s="392"/>
      <c r="H25" s="392"/>
    </row>
    <row r="26" spans="1:8" s="214" customFormat="1" ht="16.5" customHeight="1" x14ac:dyDescent="0.3">
      <c r="A26" s="392"/>
      <c r="B26" s="392"/>
      <c r="C26" s="392"/>
      <c r="D26" s="392"/>
      <c r="E26" s="392"/>
      <c r="F26" s="392"/>
      <c r="G26" s="392"/>
      <c r="H26" s="392"/>
    </row>
    <row r="27" spans="1:8" s="214" customFormat="1" ht="16.5" customHeight="1" x14ac:dyDescent="0.3">
      <c r="A27" s="392"/>
      <c r="B27" s="392"/>
      <c r="C27" s="392"/>
      <c r="D27" s="392"/>
      <c r="E27" s="392"/>
      <c r="F27" s="392"/>
      <c r="G27" s="392"/>
      <c r="H27" s="392"/>
    </row>
    <row r="28" spans="1:8" s="214" customFormat="1" ht="36" customHeight="1" x14ac:dyDescent="0.3">
      <c r="A28" s="392"/>
      <c r="B28" s="392"/>
      <c r="C28" s="392"/>
      <c r="D28" s="392"/>
      <c r="E28" s="392"/>
      <c r="F28" s="392"/>
      <c r="G28" s="392"/>
      <c r="H28" s="392"/>
    </row>
    <row r="29" spans="1:8" x14ac:dyDescent="0.3">
      <c r="A29" s="223"/>
      <c r="B29" s="223"/>
      <c r="C29" s="223"/>
      <c r="D29" s="223"/>
      <c r="E29" s="223"/>
      <c r="F29" s="223"/>
      <c r="G29" s="223"/>
    </row>
    <row r="30" spans="1:8" x14ac:dyDescent="0.3">
      <c r="A30" s="389" t="s">
        <v>355</v>
      </c>
      <c r="B30" s="390"/>
    </row>
    <row r="31" spans="1:8" x14ac:dyDescent="0.3">
      <c r="A31" s="394">
        <v>41515</v>
      </c>
      <c r="B31" s="394"/>
    </row>
    <row r="32" spans="1:8" x14ac:dyDescent="0.3">
      <c r="B32"/>
    </row>
    <row r="33" spans="2:2" x14ac:dyDescent="0.3">
      <c r="B33"/>
    </row>
    <row r="34" spans="2:2" x14ac:dyDescent="0.3">
      <c r="B34"/>
    </row>
    <row r="35" spans="2:2" x14ac:dyDescent="0.3">
      <c r="B35"/>
    </row>
    <row r="36" spans="2:2" customFormat="1" ht="15" hidden="1" x14ac:dyDescent="0.2"/>
    <row r="37" spans="2:2" customFormat="1" ht="16.5" hidden="1" customHeight="1" x14ac:dyDescent="0.2"/>
    <row r="38" spans="2:2" customFormat="1" ht="15" hidden="1" x14ac:dyDescent="0.2"/>
    <row r="39" spans="2:2" customFormat="1" ht="15" hidden="1" x14ac:dyDescent="0.2"/>
    <row r="40" spans="2:2" customFormat="1" ht="15" hidden="1" x14ac:dyDescent="0.2"/>
    <row r="41" spans="2:2" customFormat="1" ht="15" hidden="1" x14ac:dyDescent="0.2"/>
    <row r="42" spans="2:2" customFormat="1" ht="15" hidden="1" x14ac:dyDescent="0.2"/>
    <row r="43" spans="2:2" customFormat="1" ht="15" hidden="1" x14ac:dyDescent="0.2"/>
    <row r="44" spans="2:2" customFormat="1" ht="15" hidden="1" x14ac:dyDescent="0.2"/>
    <row r="45" spans="2:2" customFormat="1" ht="15" hidden="1" x14ac:dyDescent="0.2"/>
    <row r="46" spans="2:2" customFormat="1" ht="15" hidden="1" x14ac:dyDescent="0.2"/>
    <row r="47" spans="2:2" customFormat="1" ht="16.5" hidden="1" customHeight="1" x14ac:dyDescent="0.2"/>
    <row r="48" spans="2:2" customFormat="1" ht="15" hidden="1" x14ac:dyDescent="0.2"/>
    <row r="49" customFormat="1" ht="15" hidden="1" x14ac:dyDescent="0.2"/>
    <row r="50" customFormat="1" ht="15" hidden="1" x14ac:dyDescent="0.2"/>
    <row r="51" customFormat="1" ht="15" hidden="1" x14ac:dyDescent="0.2"/>
    <row r="52" customFormat="1" ht="15" hidden="1" x14ac:dyDescent="0.2"/>
    <row r="53" customFormat="1" ht="15" hidden="1" x14ac:dyDescent="0.2"/>
    <row r="54" customFormat="1" ht="15" hidden="1" x14ac:dyDescent="0.2"/>
    <row r="55" customFormat="1" ht="15" hidden="1" x14ac:dyDescent="0.2"/>
    <row r="56" customFormat="1" ht="16.5" hidden="1" customHeight="1" x14ac:dyDescent="0.2"/>
    <row r="57" customFormat="1" ht="15" hidden="1" x14ac:dyDescent="0.2"/>
    <row r="58" customFormat="1" ht="15" hidden="1" x14ac:dyDescent="0.2"/>
    <row r="59" customFormat="1" ht="15" hidden="1" x14ac:dyDescent="0.2"/>
    <row r="60" customFormat="1" ht="15" hidden="1" x14ac:dyDescent="0.2"/>
    <row r="61" customFormat="1" ht="15" hidden="1" x14ac:dyDescent="0.2"/>
    <row r="62" customFormat="1" ht="15" hidden="1" x14ac:dyDescent="0.2"/>
    <row r="63" customFormat="1" ht="15" hidden="1" x14ac:dyDescent="0.2"/>
    <row r="64" customFormat="1" ht="15" hidden="1" x14ac:dyDescent="0.2"/>
    <row r="65" customFormat="1" ht="15" hidden="1" x14ac:dyDescent="0.2"/>
    <row r="66" customFormat="1" ht="15" hidden="1" x14ac:dyDescent="0.2"/>
    <row r="67" customFormat="1" ht="16.5" hidden="1" customHeight="1" x14ac:dyDescent="0.2"/>
    <row r="68" customFormat="1" ht="15" hidden="1" x14ac:dyDescent="0.2"/>
    <row r="69" customFormat="1" ht="15" hidden="1" x14ac:dyDescent="0.2"/>
    <row r="70" customFormat="1" ht="15" hidden="1" x14ac:dyDescent="0.2"/>
    <row r="71" customFormat="1" ht="15" hidden="1" x14ac:dyDescent="0.2"/>
    <row r="72" customFormat="1" ht="15" hidden="1" x14ac:dyDescent="0.2"/>
    <row r="73" customFormat="1" ht="15" hidden="1" x14ac:dyDescent="0.2"/>
    <row r="74" customFormat="1" ht="15" hidden="1" x14ac:dyDescent="0.2"/>
    <row r="75" customFormat="1" ht="15" hidden="1" x14ac:dyDescent="0.2"/>
    <row r="76" customFormat="1" ht="15" hidden="1" x14ac:dyDescent="0.2"/>
    <row r="77" customFormat="1" ht="15" hidden="1" x14ac:dyDescent="0.2"/>
    <row r="78" customFormat="1" ht="15" hidden="1" x14ac:dyDescent="0.2"/>
    <row r="79" customFormat="1" ht="15" hidden="1" x14ac:dyDescent="0.2"/>
    <row r="80" customFormat="1" ht="16.5" hidden="1" customHeight="1" x14ac:dyDescent="0.2"/>
    <row r="81" customFormat="1" ht="15" hidden="1" x14ac:dyDescent="0.2"/>
    <row r="82" customFormat="1" ht="15" hidden="1" x14ac:dyDescent="0.2"/>
    <row r="83" customFormat="1" ht="15" hidden="1" x14ac:dyDescent="0.2"/>
    <row r="84" customFormat="1" ht="15" hidden="1" x14ac:dyDescent="0.2"/>
    <row r="85" customFormat="1" ht="15" hidden="1" x14ac:dyDescent="0.2"/>
    <row r="86" customFormat="1" ht="15" hidden="1" x14ac:dyDescent="0.2"/>
    <row r="87" customFormat="1" ht="15" hidden="1" x14ac:dyDescent="0.2"/>
    <row r="88" customFormat="1" ht="15" hidden="1" x14ac:dyDescent="0.2"/>
    <row r="89" customFormat="1" ht="15" hidden="1" x14ac:dyDescent="0.2"/>
    <row r="90" customFormat="1" ht="15" hidden="1" x14ac:dyDescent="0.2"/>
    <row r="91" customFormat="1" ht="15" hidden="1" x14ac:dyDescent="0.2"/>
    <row r="92" customFormat="1" ht="108.75" hidden="1" customHeight="1" x14ac:dyDescent="0.2"/>
    <row r="93" customFormat="1" ht="153" hidden="1" customHeight="1" x14ac:dyDescent="0.2"/>
    <row r="94" customFormat="1" ht="73.5" hidden="1" customHeight="1" x14ac:dyDescent="0.2"/>
    <row r="95" customFormat="1" ht="15" hidden="1" x14ac:dyDescent="0.2"/>
    <row r="96" customFormat="1" ht="15" hidden="1" x14ac:dyDescent="0.2"/>
    <row r="97" customFormat="1" ht="15" hidden="1" x14ac:dyDescent="0.2"/>
    <row r="98" customFormat="1" ht="15" hidden="1" x14ac:dyDescent="0.2"/>
    <row r="99" customFormat="1" ht="15" hidden="1" x14ac:dyDescent="0.2"/>
    <row r="100" customFormat="1" ht="15" hidden="1" x14ac:dyDescent="0.2"/>
    <row r="101" customFormat="1" ht="15" hidden="1" x14ac:dyDescent="0.2"/>
    <row r="102" customFormat="1" ht="15" hidden="1" x14ac:dyDescent="0.2"/>
    <row r="103" customFormat="1" ht="15" hidden="1" x14ac:dyDescent="0.2"/>
    <row r="104" customFormat="1" ht="15" hidden="1" x14ac:dyDescent="0.2"/>
    <row r="105" customFormat="1" ht="16.5" hidden="1" customHeight="1" x14ac:dyDescent="0.2"/>
    <row r="106" customFormat="1" ht="16.5" hidden="1" customHeight="1" x14ac:dyDescent="0.2"/>
    <row r="107" customFormat="1" ht="16.5" hidden="1" customHeight="1" x14ac:dyDescent="0.2"/>
    <row r="108" customFormat="1" ht="16.5" hidden="1" customHeight="1" x14ac:dyDescent="0.2"/>
    <row r="109" customFormat="1" ht="16.5" hidden="1" customHeight="1" x14ac:dyDescent="0.2"/>
    <row r="110" customFormat="1" ht="16.5" hidden="1" customHeight="1" x14ac:dyDescent="0.2"/>
    <row r="111" customFormat="1" ht="16.5" hidden="1" customHeight="1" x14ac:dyDescent="0.2"/>
    <row r="112" customFormat="1" ht="16.5" hidden="1" customHeight="1" x14ac:dyDescent="0.2"/>
    <row r="113" customFormat="1" ht="16.5" hidden="1" customHeight="1" x14ac:dyDescent="0.2"/>
    <row r="114" customFormat="1" ht="16.5" hidden="1" customHeight="1" x14ac:dyDescent="0.2"/>
    <row r="115" customFormat="1" ht="16.5" hidden="1" customHeight="1" x14ac:dyDescent="0.2"/>
    <row r="116" customFormat="1" ht="16.5" hidden="1" customHeight="1" x14ac:dyDescent="0.2"/>
    <row r="117" customFormat="1" ht="16.5" hidden="1" customHeight="1" x14ac:dyDescent="0.2"/>
    <row r="118" customFormat="1" ht="16.5" hidden="1" customHeight="1" x14ac:dyDescent="0.2"/>
    <row r="119" customFormat="1" ht="16.5" hidden="1" customHeight="1" x14ac:dyDescent="0.2"/>
    <row r="120" customFormat="1" ht="16.5" hidden="1" customHeight="1" x14ac:dyDescent="0.2"/>
    <row r="121" customFormat="1" ht="16.5" hidden="1" customHeight="1" x14ac:dyDescent="0.2"/>
    <row r="122" customFormat="1" ht="16.5" hidden="1" customHeight="1" x14ac:dyDescent="0.2"/>
    <row r="123" customFormat="1" ht="16.5" hidden="1" customHeight="1" x14ac:dyDescent="0.2"/>
    <row r="124" customFormat="1" ht="16.5" hidden="1" customHeight="1" x14ac:dyDescent="0.2"/>
    <row r="125" customFormat="1" ht="16.5" hidden="1" customHeight="1" x14ac:dyDescent="0.2"/>
    <row r="126" customFormat="1" ht="16.5" hidden="1" customHeight="1" x14ac:dyDescent="0.2"/>
    <row r="127" customFormat="1" ht="16.5" hidden="1" customHeight="1" x14ac:dyDescent="0.2"/>
    <row r="128" customFormat="1" ht="16.5" hidden="1" customHeight="1" x14ac:dyDescent="0.2"/>
    <row r="129" ht="16.5" customHeight="1" x14ac:dyDescent="0.3"/>
  </sheetData>
  <sheetProtection password="C66B" sheet="1" objects="1" scenarios="1"/>
  <mergeCells count="4">
    <mergeCell ref="A1:H1"/>
    <mergeCell ref="A12:H28"/>
    <mergeCell ref="A2:H10"/>
    <mergeCell ref="A31:B31"/>
  </mergeCells>
  <pageMargins left="0.7" right="0.7" top="1" bottom="0.90052083333333333" header="0.3" footer="0.3"/>
  <pageSetup scale="89" orientation="portrait" r:id="rId1"/>
  <headerFooter>
    <oddHeader>&amp;L&amp;G&amp;C&amp;"Calibri,Bold"Performance Improvement Calculator:
ABOUT THE CALCULATOR&amp;R&amp;G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35" max="16383" man="1"/>
    <brk id="78" max="6"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sheetPr>
  <dimension ref="A1:IZ69"/>
  <sheetViews>
    <sheetView showGridLines="0" zoomScale="80" zoomScaleNormal="80" zoomScalePageLayoutView="70" workbookViewId="0">
      <selection activeCell="K6" sqref="K6"/>
    </sheetView>
  </sheetViews>
  <sheetFormatPr defaultColWidth="0" defaultRowHeight="0" customHeight="1" zeroHeight="1" x14ac:dyDescent="0.25"/>
  <cols>
    <col min="1" max="1" width="1.59765625" style="72" customWidth="1"/>
    <col min="2" max="2" width="11.69921875" style="462" customWidth="1"/>
    <col min="3" max="3" width="2.69921875" style="462" customWidth="1"/>
    <col min="4" max="6" width="12.3984375" style="462" customWidth="1"/>
    <col min="7" max="7" width="1.59765625" style="86" customWidth="1"/>
    <col min="8" max="8" width="11.69921875" style="462" customWidth="1"/>
    <col min="9" max="9" width="2.69921875" style="462" customWidth="1"/>
    <col min="10" max="12" width="12.3984375" style="462" customWidth="1"/>
    <col min="13" max="13" width="1.59765625" style="372" customWidth="1"/>
    <col min="14" max="14" width="14.09765625" style="462" bestFit="1" customWidth="1"/>
    <col min="15" max="17" width="12.3984375" style="462" customWidth="1"/>
    <col min="18" max="20" width="12.3984375" style="72" hidden="1" customWidth="1"/>
    <col min="21" max="21" width="15.5" style="73" hidden="1" customWidth="1"/>
    <col min="22" max="22" width="8.59765625" style="73" hidden="1" customWidth="1"/>
    <col min="23" max="23" width="7.19921875" style="73" hidden="1" customWidth="1"/>
    <col min="24" max="27" width="6.59765625" style="74" hidden="1" customWidth="1"/>
    <col min="28" max="260" width="6.59765625" style="72" hidden="1" customWidth="1"/>
    <col min="261" max="16384" width="7.19921875" style="75" hidden="1"/>
  </cols>
  <sheetData>
    <row r="1" spans="1:260" s="338" customFormat="1" ht="72" customHeight="1" x14ac:dyDescent="0.2">
      <c r="A1" s="337"/>
      <c r="B1" s="460" t="s">
        <v>318</v>
      </c>
      <c r="C1" s="460"/>
      <c r="D1" s="460"/>
      <c r="E1" s="460"/>
      <c r="F1" s="460"/>
      <c r="G1" s="131"/>
      <c r="H1" s="466" t="s">
        <v>272</v>
      </c>
      <c r="I1" s="466"/>
      <c r="J1" s="466"/>
      <c r="K1" s="466"/>
      <c r="L1" s="466"/>
      <c r="M1" s="125"/>
      <c r="N1" s="460" t="s">
        <v>273</v>
      </c>
      <c r="O1" s="460"/>
      <c r="P1" s="460"/>
      <c r="Q1" s="460"/>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c r="FK1" s="337"/>
      <c r="FL1" s="337"/>
      <c r="FM1" s="337"/>
      <c r="FN1" s="337"/>
      <c r="FO1" s="337"/>
      <c r="FP1" s="337"/>
      <c r="FQ1" s="337"/>
      <c r="FR1" s="337"/>
      <c r="FS1" s="337"/>
      <c r="FT1" s="337"/>
      <c r="FU1" s="337"/>
      <c r="FV1" s="337"/>
      <c r="FW1" s="337"/>
      <c r="FX1" s="337"/>
      <c r="FY1" s="337"/>
      <c r="FZ1" s="337"/>
      <c r="GA1" s="337"/>
      <c r="GB1" s="337"/>
      <c r="GC1" s="337"/>
      <c r="GD1" s="337"/>
      <c r="GE1" s="337"/>
      <c r="GF1" s="337"/>
      <c r="GG1" s="337"/>
      <c r="GH1" s="337"/>
      <c r="GI1" s="337"/>
      <c r="GJ1" s="337"/>
      <c r="GK1" s="337"/>
      <c r="GL1" s="337"/>
      <c r="GM1" s="337"/>
      <c r="GN1" s="337"/>
      <c r="GO1" s="337"/>
      <c r="GP1" s="337"/>
      <c r="GQ1" s="337"/>
      <c r="GR1" s="337"/>
      <c r="GS1" s="337"/>
      <c r="GT1" s="337"/>
      <c r="GU1" s="337"/>
      <c r="GV1" s="337"/>
      <c r="GW1" s="337"/>
      <c r="GX1" s="337"/>
      <c r="GY1" s="337"/>
      <c r="GZ1" s="337"/>
      <c r="HA1" s="337"/>
      <c r="HB1" s="337"/>
      <c r="HC1" s="337"/>
      <c r="HD1" s="337"/>
      <c r="HE1" s="337"/>
      <c r="HF1" s="337"/>
      <c r="HG1" s="337"/>
      <c r="HH1" s="337"/>
      <c r="HI1" s="337"/>
      <c r="HJ1" s="337"/>
      <c r="HK1" s="337"/>
      <c r="HL1" s="337"/>
      <c r="HM1" s="337"/>
      <c r="HN1" s="337"/>
      <c r="HO1" s="337"/>
      <c r="HP1" s="337"/>
      <c r="HQ1" s="337"/>
      <c r="HR1" s="337"/>
      <c r="HS1" s="337"/>
      <c r="HT1" s="337"/>
      <c r="HU1" s="337"/>
      <c r="HV1" s="337"/>
      <c r="HW1" s="337"/>
      <c r="HX1" s="337"/>
      <c r="HY1" s="337"/>
      <c r="HZ1" s="337"/>
      <c r="IA1" s="337"/>
      <c r="IB1" s="337"/>
      <c r="IC1" s="337"/>
      <c r="ID1" s="337"/>
      <c r="IE1" s="337"/>
      <c r="IF1" s="337"/>
      <c r="IG1" s="337"/>
      <c r="IH1" s="337"/>
      <c r="II1" s="337"/>
      <c r="IJ1" s="337"/>
      <c r="IK1" s="337"/>
      <c r="IL1" s="337"/>
      <c r="IM1" s="337"/>
      <c r="IN1" s="337"/>
      <c r="IO1" s="337"/>
      <c r="IP1" s="337"/>
      <c r="IQ1" s="337"/>
      <c r="IR1" s="337"/>
      <c r="IS1" s="337"/>
      <c r="IT1" s="337"/>
      <c r="IU1" s="337"/>
      <c r="IV1" s="337"/>
      <c r="IW1" s="337"/>
      <c r="IX1" s="337"/>
      <c r="IY1" s="337"/>
      <c r="IZ1" s="337"/>
    </row>
    <row r="2" spans="1:260" ht="15" customHeight="1" x14ac:dyDescent="0.25">
      <c r="A2" s="65"/>
      <c r="B2" s="240"/>
      <c r="C2" s="240"/>
      <c r="D2" s="469" t="s">
        <v>307</v>
      </c>
      <c r="E2" s="470"/>
      <c r="F2" s="471"/>
      <c r="G2" s="131"/>
      <c r="H2" s="240"/>
      <c r="I2" s="240"/>
      <c r="J2" s="468" t="s">
        <v>44</v>
      </c>
      <c r="K2" s="468"/>
      <c r="L2" s="468"/>
      <c r="M2" s="125"/>
      <c r="N2" s="76"/>
      <c r="O2" s="467" t="s">
        <v>45</v>
      </c>
      <c r="P2" s="467"/>
      <c r="Q2" s="467"/>
    </row>
    <row r="3" spans="1:260" ht="30.75" customHeight="1" x14ac:dyDescent="0.25">
      <c r="A3" s="65"/>
      <c r="B3" s="240"/>
      <c r="C3" s="240"/>
      <c r="D3" s="77" t="s">
        <v>5</v>
      </c>
      <c r="E3" s="78" t="s">
        <v>11</v>
      </c>
      <c r="F3" s="78" t="s">
        <v>6</v>
      </c>
      <c r="G3" s="131"/>
      <c r="H3" s="240"/>
      <c r="I3" s="240"/>
      <c r="J3" s="77" t="s">
        <v>5</v>
      </c>
      <c r="K3" s="78" t="s">
        <v>11</v>
      </c>
      <c r="L3" s="78" t="s">
        <v>6</v>
      </c>
      <c r="M3" s="125"/>
      <c r="N3" s="76"/>
      <c r="O3" s="77" t="s">
        <v>5</v>
      </c>
      <c r="P3" s="78" t="s">
        <v>11</v>
      </c>
      <c r="Q3" s="78" t="s">
        <v>6</v>
      </c>
    </row>
    <row r="4" spans="1:260" ht="15" customHeight="1" x14ac:dyDescent="0.2">
      <c r="A4" s="65"/>
      <c r="B4" s="87" t="s">
        <v>4</v>
      </c>
      <c r="C4" s="87"/>
      <c r="D4" s="89">
        <f>Formulas!D5</f>
        <v>2000000</v>
      </c>
      <c r="E4" s="177"/>
      <c r="F4" s="89">
        <f>D4+E4</f>
        <v>2000000</v>
      </c>
      <c r="G4" s="131"/>
      <c r="H4" s="87" t="s">
        <v>4</v>
      </c>
      <c r="I4" s="87"/>
      <c r="J4" s="89">
        <f>Formulas!D12</f>
        <v>1200000</v>
      </c>
      <c r="K4" s="177"/>
      <c r="L4" s="89">
        <f>J4+K4</f>
        <v>1200000</v>
      </c>
      <c r="M4" s="125"/>
      <c r="N4" s="87" t="s">
        <v>4</v>
      </c>
      <c r="O4" s="89">
        <f t="shared" ref="O4:O7" si="0">D4+J4</f>
        <v>3200000</v>
      </c>
      <c r="P4" s="90">
        <f>E4+K4</f>
        <v>0</v>
      </c>
      <c r="Q4" s="89">
        <f>O4+P4</f>
        <v>3200000</v>
      </c>
    </row>
    <row r="5" spans="1:260" ht="15" customHeight="1" x14ac:dyDescent="0.2">
      <c r="A5" s="65"/>
      <c r="B5" s="87" t="s">
        <v>3</v>
      </c>
      <c r="C5" s="87"/>
      <c r="D5" s="89">
        <f>Formulas!D6</f>
        <v>1800000</v>
      </c>
      <c r="E5" s="177"/>
      <c r="F5" s="89">
        <f>D5+E5</f>
        <v>1800000</v>
      </c>
      <c r="G5" s="131"/>
      <c r="H5" s="87" t="s">
        <v>3</v>
      </c>
      <c r="I5" s="87"/>
      <c r="J5" s="89">
        <f>Formulas!D13</f>
        <v>3000000</v>
      </c>
      <c r="K5" s="177"/>
      <c r="L5" s="89">
        <f>J5+K5</f>
        <v>3000000</v>
      </c>
      <c r="M5" s="125"/>
      <c r="N5" s="87" t="s">
        <v>3</v>
      </c>
      <c r="O5" s="89">
        <f t="shared" si="0"/>
        <v>4800000</v>
      </c>
      <c r="P5" s="90">
        <f>E5+K5</f>
        <v>0</v>
      </c>
      <c r="Q5" s="89">
        <f t="shared" ref="Q5:Q7" si="1">O5+P5</f>
        <v>4800000</v>
      </c>
    </row>
    <row r="6" spans="1:260" ht="15" customHeight="1" x14ac:dyDescent="0.2">
      <c r="A6" s="65"/>
      <c r="B6" s="87" t="s">
        <v>2</v>
      </c>
      <c r="C6" s="87"/>
      <c r="D6" s="89">
        <f>Formulas!D7</f>
        <v>645000</v>
      </c>
      <c r="E6" s="177"/>
      <c r="F6" s="89">
        <f>D6+E6</f>
        <v>645000</v>
      </c>
      <c r="G6" s="131"/>
      <c r="H6" s="87" t="s">
        <v>2</v>
      </c>
      <c r="I6" s="87"/>
      <c r="J6" s="89">
        <f>Formulas!D14</f>
        <v>850000</v>
      </c>
      <c r="K6" s="177"/>
      <c r="L6" s="89">
        <f>J6+K6</f>
        <v>850000</v>
      </c>
      <c r="M6" s="125"/>
      <c r="N6" s="87" t="s">
        <v>2</v>
      </c>
      <c r="O6" s="89">
        <f t="shared" si="0"/>
        <v>1495000</v>
      </c>
      <c r="P6" s="90">
        <f>E6+K6</f>
        <v>0</v>
      </c>
      <c r="Q6" s="89">
        <f t="shared" si="1"/>
        <v>1495000</v>
      </c>
    </row>
    <row r="7" spans="1:260" ht="15" customHeight="1" x14ac:dyDescent="0.2">
      <c r="A7" s="65"/>
      <c r="B7" s="88" t="s">
        <v>58</v>
      </c>
      <c r="C7" s="88"/>
      <c r="D7" s="89">
        <f>Formulas!D8</f>
        <v>2500000</v>
      </c>
      <c r="E7" s="177"/>
      <c r="F7" s="89">
        <f>D7+E7</f>
        <v>2500000</v>
      </c>
      <c r="G7" s="131"/>
      <c r="H7" s="88" t="s">
        <v>58</v>
      </c>
      <c r="I7" s="88"/>
      <c r="J7" s="89">
        <f>Formulas!D15</f>
        <v>1500000</v>
      </c>
      <c r="K7" s="177"/>
      <c r="L7" s="89">
        <f>J7+K7</f>
        <v>1500000</v>
      </c>
      <c r="M7" s="125"/>
      <c r="N7" s="88" t="s">
        <v>58</v>
      </c>
      <c r="O7" s="89">
        <f t="shared" si="0"/>
        <v>4000000</v>
      </c>
      <c r="P7" s="90">
        <f>E7+K7</f>
        <v>0</v>
      </c>
      <c r="Q7" s="89">
        <f t="shared" si="1"/>
        <v>4000000</v>
      </c>
    </row>
    <row r="8" spans="1:260" s="79" customFormat="1" ht="12.95" customHeight="1" x14ac:dyDescent="0.2">
      <c r="B8" s="79" t="s">
        <v>23</v>
      </c>
      <c r="D8" s="80">
        <f>SUM(D4:D7)</f>
        <v>6945000</v>
      </c>
      <c r="E8" s="80">
        <f>SUM(E4:E7)</f>
        <v>0</v>
      </c>
      <c r="F8" s="80">
        <f>SUM(F4:F7)</f>
        <v>6945000</v>
      </c>
      <c r="G8" s="132"/>
      <c r="H8" s="79" t="s">
        <v>23</v>
      </c>
      <c r="J8" s="80">
        <f>SUM(J4:J7)</f>
        <v>6550000</v>
      </c>
      <c r="K8" s="80">
        <f>SUM(K4:K7)</f>
        <v>0</v>
      </c>
      <c r="L8" s="80">
        <f>SUM(L4:L7)</f>
        <v>6550000</v>
      </c>
      <c r="M8" s="125"/>
      <c r="N8" s="79" t="s">
        <v>23</v>
      </c>
      <c r="O8" s="80">
        <f>SUM(O4:O7)</f>
        <v>13495000</v>
      </c>
      <c r="P8" s="80">
        <f>SUM(P4:P7)</f>
        <v>0</v>
      </c>
      <c r="Q8" s="80">
        <f>SUM(Q4:Q7)</f>
        <v>13495000</v>
      </c>
      <c r="R8" s="81"/>
      <c r="S8" s="81"/>
      <c r="T8" s="81"/>
      <c r="X8" s="82"/>
      <c r="Y8" s="82"/>
      <c r="Z8" s="82"/>
      <c r="AA8" s="82"/>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row>
    <row r="9" spans="1:260" ht="12.95" customHeight="1" x14ac:dyDescent="0.2">
      <c r="A9" s="65"/>
      <c r="B9" s="65"/>
      <c r="C9" s="65"/>
      <c r="D9" s="65"/>
      <c r="E9" s="71"/>
      <c r="F9" s="65"/>
      <c r="G9" s="130"/>
      <c r="H9" s="65"/>
      <c r="I9" s="65"/>
      <c r="J9" s="65"/>
      <c r="K9" s="65"/>
      <c r="L9" s="65"/>
      <c r="M9" s="125"/>
      <c r="N9" s="65"/>
      <c r="O9" s="65"/>
      <c r="P9" s="65"/>
      <c r="Q9" s="72"/>
    </row>
    <row r="10" spans="1:260" ht="12.95" customHeight="1" x14ac:dyDescent="0.2">
      <c r="A10" s="65"/>
      <c r="B10" s="65"/>
      <c r="C10" s="65"/>
      <c r="D10" s="65"/>
      <c r="E10" s="71"/>
      <c r="F10" s="65"/>
      <c r="G10" s="130"/>
      <c r="H10" s="65"/>
      <c r="I10" s="65"/>
      <c r="J10" s="65"/>
      <c r="K10" s="65"/>
      <c r="L10" s="65"/>
      <c r="M10" s="125"/>
      <c r="N10" s="65"/>
      <c r="O10" s="65"/>
      <c r="P10" s="65"/>
      <c r="Q10" s="72"/>
    </row>
    <row r="11" spans="1:260" ht="12.95" customHeight="1" x14ac:dyDescent="0.2">
      <c r="A11" s="65"/>
      <c r="B11" s="75"/>
      <c r="C11" s="75"/>
      <c r="D11" s="75"/>
      <c r="E11" s="75"/>
      <c r="F11" s="75"/>
      <c r="G11" s="130"/>
      <c r="H11" s="65"/>
      <c r="I11" s="65"/>
      <c r="J11" s="65"/>
      <c r="K11" s="65"/>
      <c r="L11" s="65"/>
      <c r="M11" s="125"/>
      <c r="N11" s="65"/>
      <c r="O11" s="65"/>
      <c r="P11" s="65"/>
      <c r="Q11" s="72"/>
    </row>
    <row r="12" spans="1:260" ht="12.95" customHeight="1" x14ac:dyDescent="0.2">
      <c r="A12" s="65"/>
      <c r="B12" s="75"/>
      <c r="C12" s="75"/>
      <c r="D12" s="75"/>
      <c r="E12" s="75"/>
      <c r="F12" s="75"/>
      <c r="G12" s="130"/>
      <c r="H12" s="65"/>
      <c r="I12" s="65"/>
      <c r="J12" s="65"/>
      <c r="K12" s="65"/>
      <c r="L12" s="65"/>
      <c r="M12" s="125"/>
      <c r="N12" s="65"/>
      <c r="O12" s="65"/>
      <c r="P12" s="65"/>
      <c r="Q12" s="72"/>
    </row>
    <row r="13" spans="1:260" ht="12.95" customHeight="1" x14ac:dyDescent="0.2">
      <c r="A13" s="65"/>
      <c r="B13" s="75"/>
      <c r="C13" s="75"/>
      <c r="D13" s="75"/>
      <c r="E13" s="75"/>
      <c r="F13" s="75"/>
      <c r="G13" s="130"/>
      <c r="H13" s="65"/>
      <c r="I13" s="65"/>
      <c r="J13" s="65"/>
      <c r="K13" s="65"/>
      <c r="L13" s="65"/>
      <c r="M13" s="125"/>
      <c r="N13" s="65"/>
      <c r="O13" s="65"/>
      <c r="P13" s="65"/>
      <c r="Q13" s="72"/>
    </row>
    <row r="14" spans="1:260" ht="12.95" customHeight="1" x14ac:dyDescent="0.2">
      <c r="A14" s="65"/>
      <c r="B14" s="75"/>
      <c r="C14" s="75"/>
      <c r="D14" s="75"/>
      <c r="E14" s="75"/>
      <c r="F14" s="75"/>
      <c r="G14" s="130"/>
      <c r="H14" s="65"/>
      <c r="I14" s="65"/>
      <c r="J14" s="65"/>
      <c r="K14" s="65"/>
      <c r="L14" s="65"/>
      <c r="M14" s="125"/>
      <c r="N14" s="65"/>
      <c r="O14" s="65"/>
      <c r="P14" s="65"/>
      <c r="Q14" s="72"/>
    </row>
    <row r="15" spans="1:260" ht="12.95" customHeight="1" x14ac:dyDescent="0.2">
      <c r="A15" s="65"/>
      <c r="B15" s="75"/>
      <c r="C15" s="75"/>
      <c r="D15" s="75"/>
      <c r="E15" s="75"/>
      <c r="F15" s="75"/>
      <c r="G15" s="130"/>
      <c r="H15" s="65"/>
      <c r="I15" s="65"/>
      <c r="J15" s="65"/>
      <c r="K15" s="65"/>
      <c r="L15" s="65"/>
      <c r="M15" s="125"/>
      <c r="N15" s="65"/>
      <c r="O15" s="65"/>
      <c r="P15" s="65"/>
      <c r="Q15" s="72"/>
    </row>
    <row r="16" spans="1:260" ht="12.95" customHeight="1" x14ac:dyDescent="0.2">
      <c r="A16" s="65"/>
      <c r="B16" s="75"/>
      <c r="C16" s="75"/>
      <c r="D16" s="75"/>
      <c r="E16" s="75"/>
      <c r="F16" s="75"/>
      <c r="G16" s="130"/>
      <c r="H16" s="65"/>
      <c r="I16" s="65"/>
      <c r="J16" s="65"/>
      <c r="K16" s="65"/>
      <c r="L16" s="65"/>
      <c r="M16" s="125"/>
      <c r="N16" s="65"/>
      <c r="O16" s="65"/>
      <c r="P16" s="65"/>
      <c r="Q16" s="72"/>
    </row>
    <row r="17" spans="1:260" ht="12.95" customHeight="1" x14ac:dyDescent="0.2">
      <c r="A17" s="65"/>
      <c r="B17" s="75"/>
      <c r="C17" s="75"/>
      <c r="D17" s="75"/>
      <c r="E17" s="75"/>
      <c r="F17" s="75"/>
      <c r="G17" s="130"/>
      <c r="H17" s="65"/>
      <c r="I17" s="65"/>
      <c r="J17" s="65"/>
      <c r="K17" s="65"/>
      <c r="L17" s="65"/>
      <c r="M17" s="125"/>
      <c r="N17" s="65"/>
      <c r="O17" s="65"/>
      <c r="P17" s="65"/>
      <c r="Q17" s="72"/>
    </row>
    <row r="18" spans="1:260" ht="12.95" customHeight="1" x14ac:dyDescent="0.2">
      <c r="A18" s="65"/>
      <c r="B18" s="75"/>
      <c r="C18" s="75"/>
      <c r="D18" s="75"/>
      <c r="E18" s="75"/>
      <c r="F18" s="75"/>
      <c r="G18" s="130"/>
      <c r="H18" s="65"/>
      <c r="I18" s="65"/>
      <c r="J18" s="65"/>
      <c r="K18" s="65"/>
      <c r="L18" s="65"/>
      <c r="M18" s="125"/>
      <c r="N18" s="65"/>
      <c r="O18" s="65"/>
      <c r="P18" s="65"/>
      <c r="Q18" s="72"/>
    </row>
    <row r="19" spans="1:260" ht="12.95" customHeight="1" x14ac:dyDescent="0.2">
      <c r="A19" s="65"/>
      <c r="B19" s="75"/>
      <c r="C19" s="75"/>
      <c r="D19" s="75"/>
      <c r="E19" s="83"/>
      <c r="F19" s="83"/>
      <c r="G19" s="130"/>
      <c r="H19" s="65"/>
      <c r="I19" s="65"/>
      <c r="J19" s="65"/>
      <c r="K19" s="65"/>
      <c r="L19" s="65"/>
      <c r="M19" s="125"/>
      <c r="N19" s="65"/>
      <c r="O19" s="65"/>
      <c r="P19" s="65"/>
      <c r="Q19" s="72"/>
    </row>
    <row r="20" spans="1:260" ht="12.95" customHeight="1" x14ac:dyDescent="0.2">
      <c r="A20" s="65"/>
      <c r="B20" s="75"/>
      <c r="C20" s="75"/>
      <c r="D20" s="75"/>
      <c r="E20" s="83"/>
      <c r="F20" s="83"/>
      <c r="G20" s="130"/>
      <c r="H20" s="65"/>
      <c r="I20" s="65"/>
      <c r="J20" s="65"/>
      <c r="K20" s="65"/>
      <c r="L20" s="65"/>
      <c r="M20" s="125"/>
      <c r="N20" s="65"/>
      <c r="O20" s="65"/>
      <c r="P20" s="65"/>
      <c r="Q20" s="72"/>
    </row>
    <row r="21" spans="1:260" ht="12.95" customHeight="1" x14ac:dyDescent="0.2">
      <c r="A21" s="65"/>
      <c r="B21" s="75"/>
      <c r="C21" s="75"/>
      <c r="D21" s="75"/>
      <c r="E21" s="83"/>
      <c r="F21" s="83"/>
      <c r="G21" s="130"/>
      <c r="H21" s="65"/>
      <c r="I21" s="65"/>
      <c r="J21" s="65"/>
      <c r="K21" s="65"/>
      <c r="L21" s="65"/>
      <c r="M21" s="125"/>
      <c r="N21" s="65"/>
      <c r="O21" s="65"/>
      <c r="P21" s="65"/>
      <c r="Q21" s="72"/>
    </row>
    <row r="22" spans="1:260" ht="12.95" customHeight="1" x14ac:dyDescent="0.2">
      <c r="A22" s="65"/>
      <c r="B22" s="75"/>
      <c r="C22" s="75"/>
      <c r="D22" s="75"/>
      <c r="E22" s="75"/>
      <c r="F22" s="75"/>
      <c r="G22" s="130"/>
      <c r="H22" s="65"/>
      <c r="I22" s="65"/>
      <c r="J22" s="65"/>
      <c r="K22" s="65"/>
      <c r="L22" s="65"/>
      <c r="M22" s="125"/>
      <c r="N22" s="65"/>
      <c r="O22" s="65"/>
      <c r="P22" s="65"/>
      <c r="Q22" s="72"/>
    </row>
    <row r="23" spans="1:260" ht="12.95" customHeight="1" x14ac:dyDescent="0.2">
      <c r="A23" s="65"/>
      <c r="B23" s="65"/>
      <c r="C23" s="65"/>
      <c r="D23" s="65"/>
      <c r="E23" s="71"/>
      <c r="F23" s="65"/>
      <c r="G23" s="130"/>
      <c r="H23" s="65"/>
      <c r="I23" s="65"/>
      <c r="J23" s="65"/>
      <c r="K23" s="65"/>
      <c r="L23" s="65"/>
      <c r="M23" s="125"/>
      <c r="N23" s="65"/>
      <c r="O23" s="65"/>
      <c r="P23" s="65"/>
      <c r="Q23" s="72"/>
    </row>
    <row r="24" spans="1:260" ht="15" customHeight="1" x14ac:dyDescent="0.25">
      <c r="A24" s="65"/>
      <c r="B24" s="76"/>
      <c r="C24" s="76"/>
      <c r="D24" s="76"/>
      <c r="E24" s="76"/>
      <c r="F24" s="76"/>
      <c r="G24" s="129"/>
      <c r="H24" s="76"/>
      <c r="I24" s="76"/>
      <c r="J24" s="65"/>
      <c r="K24" s="65"/>
      <c r="L24" s="65"/>
      <c r="M24" s="125"/>
      <c r="N24" s="65"/>
      <c r="O24" s="65"/>
      <c r="P24" s="65"/>
      <c r="Q24" s="72"/>
    </row>
    <row r="25" spans="1:260" ht="15" customHeight="1" x14ac:dyDescent="0.25">
      <c r="A25" s="65"/>
      <c r="B25" s="76"/>
      <c r="C25" s="76"/>
      <c r="D25" s="76"/>
      <c r="E25" s="76"/>
      <c r="F25" s="76"/>
      <c r="G25" s="129"/>
      <c r="H25" s="76"/>
      <c r="I25" s="76"/>
      <c r="J25" s="84"/>
      <c r="K25" s="65"/>
      <c r="L25" s="65"/>
      <c r="M25" s="125"/>
      <c r="N25" s="65"/>
      <c r="O25" s="65"/>
      <c r="P25" s="65"/>
      <c r="Q25" s="72"/>
    </row>
    <row r="26" spans="1:260" ht="15" customHeight="1" x14ac:dyDescent="0.25">
      <c r="A26" s="65"/>
      <c r="B26" s="76"/>
      <c r="C26" s="76"/>
      <c r="D26" s="76"/>
      <c r="E26" s="76"/>
      <c r="F26" s="76"/>
      <c r="G26" s="129"/>
      <c r="H26" s="76"/>
      <c r="I26" s="76"/>
      <c r="J26" s="85"/>
      <c r="K26" s="65"/>
      <c r="L26" s="65"/>
      <c r="M26" s="125"/>
      <c r="N26" s="65"/>
      <c r="O26" s="65"/>
      <c r="P26" s="65"/>
      <c r="Q26" s="72"/>
    </row>
    <row r="27" spans="1:260" s="343" customFormat="1" ht="62.25" customHeight="1" x14ac:dyDescent="0.2">
      <c r="A27" s="339"/>
      <c r="B27" s="458" t="s">
        <v>319</v>
      </c>
      <c r="C27" s="458"/>
      <c r="D27" s="458"/>
      <c r="E27" s="458"/>
      <c r="F27" s="458"/>
      <c r="G27" s="344"/>
      <c r="H27" s="458" t="s">
        <v>255</v>
      </c>
      <c r="I27" s="458"/>
      <c r="J27" s="458"/>
      <c r="K27" s="458"/>
      <c r="L27" s="458"/>
      <c r="M27" s="345"/>
      <c r="N27" s="463" t="s">
        <v>256</v>
      </c>
      <c r="O27" s="463"/>
      <c r="P27" s="463"/>
      <c r="Q27" s="463"/>
      <c r="R27" s="340"/>
      <c r="S27" s="340"/>
      <c r="T27" s="340"/>
      <c r="U27" s="341"/>
      <c r="V27" s="341"/>
      <c r="W27" s="341"/>
      <c r="X27" s="342"/>
      <c r="Y27" s="342"/>
      <c r="Z27" s="342"/>
      <c r="AA27" s="342"/>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c r="IO27" s="340"/>
      <c r="IP27" s="340"/>
      <c r="IQ27" s="340"/>
      <c r="IR27" s="340"/>
      <c r="IS27" s="340"/>
      <c r="IT27" s="340"/>
      <c r="IU27" s="340"/>
      <c r="IV27" s="340"/>
      <c r="IW27" s="340"/>
      <c r="IX27" s="340"/>
      <c r="IY27" s="340"/>
      <c r="IZ27" s="340"/>
    </row>
    <row r="28" spans="1:260" ht="12" customHeight="1" x14ac:dyDescent="0.2">
      <c r="B28" s="72"/>
      <c r="C28" s="72"/>
      <c r="D28" s="72"/>
      <c r="E28" s="86"/>
      <c r="F28" s="72"/>
      <c r="G28" s="131"/>
      <c r="H28" s="72"/>
      <c r="I28" s="72"/>
      <c r="J28" s="72"/>
      <c r="K28" s="72"/>
      <c r="L28" s="72"/>
      <c r="M28" s="125"/>
      <c r="N28" s="72"/>
      <c r="O28" s="72"/>
      <c r="P28" s="72"/>
      <c r="Q28" s="72"/>
    </row>
    <row r="29" spans="1:260" ht="12" customHeight="1" x14ac:dyDescent="0.2">
      <c r="B29" s="72"/>
      <c r="C29" s="72"/>
      <c r="D29" s="72"/>
      <c r="E29" s="86"/>
      <c r="F29" s="72"/>
      <c r="G29" s="131"/>
      <c r="H29" s="72"/>
      <c r="I29" s="72"/>
      <c r="J29" s="72"/>
      <c r="K29" s="72"/>
      <c r="L29" s="72"/>
      <c r="M29" s="125"/>
      <c r="N29" s="72"/>
      <c r="O29" s="72"/>
      <c r="P29" s="72"/>
      <c r="Q29" s="72"/>
    </row>
    <row r="30" spans="1:260" ht="12" customHeight="1" x14ac:dyDescent="0.2">
      <c r="B30" s="72"/>
      <c r="C30" s="72"/>
      <c r="D30" s="72"/>
      <c r="E30" s="86"/>
      <c r="F30" s="72"/>
      <c r="G30" s="131"/>
      <c r="H30" s="72"/>
      <c r="I30" s="72"/>
      <c r="J30" s="72"/>
      <c r="K30" s="72"/>
      <c r="L30" s="72"/>
      <c r="M30" s="125"/>
      <c r="N30" s="72"/>
      <c r="O30" s="72"/>
      <c r="P30" s="72"/>
      <c r="Q30" s="72"/>
    </row>
    <row r="31" spans="1:260" ht="12" customHeight="1" x14ac:dyDescent="0.2">
      <c r="B31" s="72"/>
      <c r="C31" s="72"/>
      <c r="D31" s="72"/>
      <c r="E31" s="86"/>
      <c r="F31" s="72"/>
      <c r="G31" s="131"/>
      <c r="H31" s="72"/>
      <c r="I31" s="72"/>
      <c r="J31" s="72"/>
      <c r="K31" s="72"/>
      <c r="L31" s="72"/>
      <c r="M31" s="125"/>
      <c r="N31" s="72"/>
      <c r="O31" s="72"/>
      <c r="P31" s="72"/>
      <c r="Q31" s="72"/>
    </row>
    <row r="32" spans="1:260" ht="12" customHeight="1" x14ac:dyDescent="0.2">
      <c r="B32" s="72"/>
      <c r="C32" s="72"/>
      <c r="D32" s="72"/>
      <c r="E32" s="86"/>
      <c r="F32" s="72"/>
      <c r="G32" s="131"/>
      <c r="H32" s="72"/>
      <c r="I32" s="72"/>
      <c r="J32" s="72"/>
      <c r="K32" s="72"/>
      <c r="L32" s="72"/>
      <c r="M32" s="125"/>
      <c r="N32" s="72"/>
      <c r="O32" s="72"/>
      <c r="P32" s="72"/>
      <c r="Q32" s="72"/>
    </row>
    <row r="33" spans="1:260" ht="12" customHeight="1" x14ac:dyDescent="0.2">
      <c r="B33" s="72"/>
      <c r="C33" s="72"/>
      <c r="D33" s="72"/>
      <c r="E33" s="86"/>
      <c r="F33" s="72"/>
      <c r="G33" s="131"/>
      <c r="H33" s="72"/>
      <c r="I33" s="72"/>
      <c r="J33" s="72"/>
      <c r="K33" s="72"/>
      <c r="L33" s="72"/>
      <c r="M33" s="125"/>
      <c r="N33" s="72"/>
      <c r="O33" s="72"/>
      <c r="P33" s="72"/>
      <c r="Q33" s="72"/>
    </row>
    <row r="34" spans="1:260" ht="12" customHeight="1" x14ac:dyDescent="0.2">
      <c r="B34" s="72"/>
      <c r="C34" s="72"/>
      <c r="D34" s="72"/>
      <c r="E34" s="86"/>
      <c r="F34" s="72"/>
      <c r="G34" s="131"/>
      <c r="H34" s="72"/>
      <c r="I34" s="72"/>
      <c r="J34" s="72"/>
      <c r="K34" s="72"/>
      <c r="L34" s="72"/>
      <c r="M34" s="125"/>
      <c r="N34" s="72"/>
      <c r="O34" s="72"/>
      <c r="P34" s="72"/>
      <c r="Q34" s="72"/>
    </row>
    <row r="35" spans="1:260" ht="12" customHeight="1" x14ac:dyDescent="0.2">
      <c r="B35" s="72"/>
      <c r="C35" s="72"/>
      <c r="D35" s="72"/>
      <c r="E35" s="86"/>
      <c r="F35" s="72"/>
      <c r="G35" s="131"/>
      <c r="H35" s="72"/>
      <c r="I35" s="72"/>
      <c r="J35" s="72"/>
      <c r="K35" s="72"/>
      <c r="L35" s="72"/>
      <c r="M35" s="125"/>
      <c r="N35" s="72"/>
      <c r="O35" s="72"/>
      <c r="P35" s="72"/>
      <c r="Q35" s="72"/>
    </row>
    <row r="36" spans="1:260" ht="12" customHeight="1" x14ac:dyDescent="0.2">
      <c r="B36" s="72"/>
      <c r="C36" s="72"/>
      <c r="D36" s="72"/>
      <c r="E36" s="86"/>
      <c r="F36" s="72"/>
      <c r="G36" s="131"/>
      <c r="H36" s="72"/>
      <c r="I36" s="72"/>
      <c r="J36" s="72"/>
      <c r="K36" s="72"/>
      <c r="L36" s="72"/>
      <c r="M36" s="125"/>
      <c r="N36" s="72"/>
      <c r="O36" s="72"/>
      <c r="P36" s="72"/>
      <c r="Q36" s="72"/>
    </row>
    <row r="37" spans="1:260" ht="12" customHeight="1" x14ac:dyDescent="0.2">
      <c r="B37" s="72"/>
      <c r="C37" s="72"/>
      <c r="D37" s="72"/>
      <c r="E37" s="86"/>
      <c r="F37" s="72"/>
      <c r="G37" s="131"/>
      <c r="H37" s="72"/>
      <c r="I37" s="72"/>
      <c r="J37" s="72"/>
      <c r="K37" s="72"/>
      <c r="L37" s="72"/>
      <c r="M37" s="125"/>
      <c r="N37" s="72"/>
      <c r="O37" s="72"/>
      <c r="P37" s="72"/>
      <c r="Q37" s="72"/>
    </row>
    <row r="38" spans="1:260" ht="12" customHeight="1" x14ac:dyDescent="0.2">
      <c r="B38" s="72"/>
      <c r="C38" s="72"/>
      <c r="D38" s="72"/>
      <c r="E38" s="86"/>
      <c r="F38" s="72"/>
      <c r="G38" s="131"/>
      <c r="H38" s="72"/>
      <c r="I38" s="72"/>
      <c r="J38" s="72"/>
      <c r="K38" s="72"/>
      <c r="L38" s="72"/>
      <c r="M38" s="125"/>
      <c r="N38" s="72"/>
      <c r="O38" s="72"/>
      <c r="P38" s="72"/>
      <c r="Q38" s="72"/>
    </row>
    <row r="39" spans="1:260" ht="12" customHeight="1" x14ac:dyDescent="0.2">
      <c r="B39" s="72"/>
      <c r="C39" s="72"/>
      <c r="D39" s="72"/>
      <c r="E39" s="86"/>
      <c r="F39" s="72"/>
      <c r="G39" s="131"/>
      <c r="H39" s="72"/>
      <c r="I39" s="72"/>
      <c r="J39" s="72"/>
      <c r="K39" s="72"/>
      <c r="L39" s="72"/>
      <c r="M39" s="125"/>
      <c r="N39" s="72"/>
      <c r="O39" s="72"/>
      <c r="P39" s="72"/>
      <c r="Q39" s="72"/>
    </row>
    <row r="40" spans="1:260" ht="12" customHeight="1" x14ac:dyDescent="0.2">
      <c r="B40" s="72"/>
      <c r="C40" s="72"/>
      <c r="D40" s="72"/>
      <c r="E40" s="86"/>
      <c r="F40" s="72"/>
      <c r="G40" s="131"/>
      <c r="H40" s="72"/>
      <c r="I40" s="72"/>
      <c r="J40" s="72"/>
      <c r="K40" s="72"/>
      <c r="L40" s="72"/>
      <c r="M40" s="125"/>
      <c r="N40" s="72"/>
      <c r="O40" s="72"/>
      <c r="P40" s="72"/>
      <c r="Q40" s="72"/>
    </row>
    <row r="41" spans="1:260" ht="12" customHeight="1" x14ac:dyDescent="0.2">
      <c r="B41" s="72"/>
      <c r="C41" s="72"/>
      <c r="D41" s="72"/>
      <c r="E41" s="86"/>
      <c r="F41" s="72"/>
      <c r="G41" s="131"/>
      <c r="H41" s="72"/>
      <c r="I41" s="72"/>
      <c r="J41" s="72"/>
      <c r="K41" s="72"/>
      <c r="L41" s="72"/>
      <c r="M41" s="125"/>
      <c r="N41" s="72"/>
      <c r="O41" s="72"/>
      <c r="P41" s="72"/>
      <c r="Q41" s="72"/>
    </row>
    <row r="42" spans="1:260" ht="12" customHeight="1" x14ac:dyDescent="0.2">
      <c r="B42" s="72"/>
      <c r="C42" s="72"/>
      <c r="D42" s="72"/>
      <c r="E42" s="86"/>
      <c r="F42" s="72"/>
      <c r="G42" s="131"/>
      <c r="H42" s="72"/>
      <c r="I42" s="72"/>
      <c r="J42" s="72"/>
      <c r="K42" s="72"/>
      <c r="L42" s="72"/>
      <c r="M42" s="125"/>
      <c r="N42" s="72"/>
      <c r="O42" s="72"/>
      <c r="P42" s="72"/>
      <c r="Q42" s="72"/>
    </row>
    <row r="43" spans="1:260" ht="12" customHeight="1" x14ac:dyDescent="0.2">
      <c r="B43" s="72"/>
      <c r="C43" s="72"/>
      <c r="D43" s="72"/>
      <c r="E43" s="86"/>
      <c r="F43" s="72"/>
      <c r="G43" s="131"/>
      <c r="H43" s="72"/>
      <c r="I43" s="72"/>
      <c r="J43" s="72"/>
      <c r="K43" s="72"/>
      <c r="L43" s="72"/>
      <c r="M43" s="125"/>
      <c r="N43" s="72"/>
      <c r="O43" s="72"/>
      <c r="P43" s="72"/>
      <c r="Q43" s="72"/>
    </row>
    <row r="44" spans="1:260" ht="12" customHeight="1" x14ac:dyDescent="0.2">
      <c r="B44" s="72"/>
      <c r="C44" s="72"/>
      <c r="D44" s="72"/>
      <c r="E44" s="86"/>
      <c r="F44" s="72"/>
      <c r="G44" s="131"/>
      <c r="H44" s="72"/>
      <c r="I44" s="72"/>
      <c r="J44" s="72"/>
      <c r="K44" s="72"/>
      <c r="L44" s="72"/>
      <c r="M44" s="125"/>
      <c r="N44" s="72"/>
      <c r="O44" s="72"/>
      <c r="P44" s="72"/>
      <c r="Q44" s="72"/>
    </row>
    <row r="45" spans="1:260" ht="12" customHeight="1" x14ac:dyDescent="0.2">
      <c r="B45" s="72"/>
      <c r="C45" s="72"/>
      <c r="D45" s="72"/>
      <c r="E45" s="86"/>
      <c r="F45" s="72"/>
      <c r="G45" s="131"/>
      <c r="H45" s="72"/>
      <c r="I45" s="72"/>
      <c r="J45" s="72"/>
      <c r="K45" s="72"/>
      <c r="L45" s="72"/>
      <c r="M45" s="125"/>
      <c r="N45" s="72"/>
      <c r="O45" s="72"/>
      <c r="P45" s="72"/>
      <c r="Q45" s="72"/>
    </row>
    <row r="46" spans="1:260" ht="12" customHeight="1" x14ac:dyDescent="0.2">
      <c r="B46" s="72"/>
      <c r="C46" s="72"/>
      <c r="D46" s="72"/>
      <c r="E46" s="86"/>
      <c r="F46" s="72"/>
      <c r="G46" s="131"/>
      <c r="H46" s="72"/>
      <c r="I46" s="72"/>
      <c r="J46" s="72"/>
      <c r="K46" s="72"/>
      <c r="L46" s="72"/>
      <c r="M46" s="125"/>
      <c r="N46" s="72"/>
      <c r="O46" s="72"/>
      <c r="P46" s="72"/>
      <c r="Q46" s="72"/>
    </row>
    <row r="47" spans="1:260" s="336" customFormat="1" ht="73.5" customHeight="1" x14ac:dyDescent="0.25">
      <c r="A47" s="334"/>
      <c r="B47" s="462" t="s">
        <v>224</v>
      </c>
      <c r="C47" s="462"/>
      <c r="D47" s="462"/>
      <c r="E47" s="462"/>
      <c r="F47" s="462"/>
      <c r="G47" s="346"/>
      <c r="H47" s="462" t="s">
        <v>224</v>
      </c>
      <c r="I47" s="462"/>
      <c r="J47" s="462"/>
      <c r="K47" s="462"/>
      <c r="L47" s="462"/>
      <c r="M47" s="145"/>
      <c r="N47" s="462" t="s">
        <v>224</v>
      </c>
      <c r="O47" s="462"/>
      <c r="P47" s="462"/>
      <c r="Q47" s="462"/>
      <c r="R47" s="334"/>
      <c r="S47" s="334"/>
      <c r="T47" s="334"/>
      <c r="U47" s="335"/>
      <c r="V47" s="335"/>
      <c r="W47" s="335"/>
      <c r="X47" s="335"/>
      <c r="Y47" s="335"/>
      <c r="Z47" s="335"/>
      <c r="AA47" s="335"/>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c r="IW47" s="334"/>
      <c r="IX47" s="334"/>
      <c r="IY47" s="334"/>
      <c r="IZ47" s="334"/>
    </row>
    <row r="48" spans="1:260" ht="12" customHeight="1" x14ac:dyDescent="0.2">
      <c r="B48" s="72"/>
      <c r="C48" s="72"/>
      <c r="D48" s="72"/>
      <c r="E48" s="86"/>
      <c r="F48" s="72"/>
      <c r="G48" s="131"/>
      <c r="H48" s="72"/>
      <c r="I48" s="72"/>
      <c r="J48" s="72"/>
      <c r="K48" s="72"/>
      <c r="L48" s="72"/>
      <c r="M48" s="125"/>
      <c r="N48" s="72"/>
      <c r="O48" s="72"/>
      <c r="P48" s="72"/>
      <c r="Q48" s="72"/>
    </row>
    <row r="49" spans="2:17" ht="12" customHeight="1" x14ac:dyDescent="0.2">
      <c r="B49" s="72"/>
      <c r="C49" s="72"/>
      <c r="D49" s="72"/>
      <c r="E49" s="86"/>
      <c r="F49" s="72"/>
      <c r="G49" s="131"/>
      <c r="H49" s="72"/>
      <c r="I49" s="72"/>
      <c r="J49" s="72"/>
      <c r="K49" s="72"/>
      <c r="L49" s="72"/>
      <c r="M49" s="125"/>
      <c r="N49" s="72"/>
      <c r="O49" s="72"/>
      <c r="P49" s="72"/>
      <c r="Q49" s="72"/>
    </row>
    <row r="50" spans="2:17" ht="12" customHeight="1" x14ac:dyDescent="0.2">
      <c r="B50" s="72"/>
      <c r="C50" s="72"/>
      <c r="D50" s="72"/>
      <c r="E50" s="86"/>
      <c r="F50" s="72"/>
      <c r="G50" s="131"/>
      <c r="H50" s="72"/>
      <c r="I50" s="72"/>
      <c r="J50" s="72"/>
      <c r="K50" s="72"/>
      <c r="L50" s="72"/>
      <c r="M50" s="125"/>
      <c r="N50" s="72"/>
      <c r="O50" s="72"/>
      <c r="P50" s="72"/>
      <c r="Q50" s="72"/>
    </row>
    <row r="51" spans="2:17" ht="12" customHeight="1" x14ac:dyDescent="0.2">
      <c r="B51" s="72"/>
      <c r="C51" s="72"/>
      <c r="D51" s="72"/>
      <c r="E51" s="86"/>
      <c r="F51" s="72"/>
      <c r="G51" s="131"/>
      <c r="H51" s="72"/>
      <c r="I51" s="72"/>
      <c r="J51" s="72"/>
      <c r="K51" s="72"/>
      <c r="L51" s="72"/>
      <c r="M51" s="125"/>
      <c r="N51" s="72"/>
      <c r="O51" s="72"/>
      <c r="P51" s="72"/>
      <c r="Q51" s="72"/>
    </row>
    <row r="52" spans="2:17" ht="12" customHeight="1" x14ac:dyDescent="0.2">
      <c r="B52" s="72"/>
      <c r="C52" s="72"/>
      <c r="D52" s="72"/>
      <c r="E52" s="86"/>
      <c r="F52" s="72"/>
      <c r="G52" s="131"/>
      <c r="H52" s="72"/>
      <c r="I52" s="72"/>
      <c r="J52" s="72"/>
      <c r="K52" s="72"/>
      <c r="L52" s="72"/>
      <c r="M52" s="125"/>
      <c r="N52" s="72"/>
      <c r="O52" s="72"/>
      <c r="P52" s="72"/>
      <c r="Q52" s="72"/>
    </row>
    <row r="53" spans="2:17" ht="12" customHeight="1" x14ac:dyDescent="0.2">
      <c r="B53" s="72"/>
      <c r="C53" s="72"/>
      <c r="D53" s="72"/>
      <c r="E53" s="86"/>
      <c r="F53" s="72"/>
      <c r="G53" s="131"/>
      <c r="H53" s="72"/>
      <c r="I53" s="72"/>
      <c r="J53" s="72"/>
      <c r="K53" s="72"/>
      <c r="L53" s="72"/>
      <c r="M53" s="125"/>
      <c r="N53" s="72"/>
      <c r="O53" s="72"/>
      <c r="P53" s="72"/>
      <c r="Q53" s="72"/>
    </row>
    <row r="54" spans="2:17" ht="12" customHeight="1" x14ac:dyDescent="0.2">
      <c r="B54" s="72"/>
      <c r="C54" s="72"/>
      <c r="D54" s="72"/>
      <c r="E54" s="86"/>
      <c r="F54" s="72"/>
      <c r="G54" s="131"/>
      <c r="H54" s="72"/>
      <c r="I54" s="72"/>
      <c r="J54" s="72"/>
      <c r="K54" s="72"/>
      <c r="L54" s="72"/>
      <c r="M54" s="125"/>
      <c r="N54" s="72"/>
      <c r="O54" s="72"/>
      <c r="P54" s="72"/>
      <c r="Q54" s="72"/>
    </row>
    <row r="55" spans="2:17" ht="12" customHeight="1" x14ac:dyDescent="0.2">
      <c r="B55" s="72"/>
      <c r="C55" s="72"/>
      <c r="D55" s="72"/>
      <c r="E55" s="86"/>
      <c r="F55" s="72"/>
      <c r="G55" s="131"/>
      <c r="H55" s="72"/>
      <c r="I55" s="72"/>
      <c r="J55" s="72"/>
      <c r="K55" s="72"/>
      <c r="L55" s="72"/>
      <c r="M55" s="125"/>
      <c r="N55" s="72"/>
      <c r="O55" s="72"/>
      <c r="P55" s="72"/>
      <c r="Q55" s="72"/>
    </row>
    <row r="56" spans="2:17" ht="12" customHeight="1" x14ac:dyDescent="0.2">
      <c r="B56" s="72"/>
      <c r="C56" s="72"/>
      <c r="D56" s="72"/>
      <c r="E56" s="86"/>
      <c r="F56" s="72"/>
      <c r="G56" s="131"/>
      <c r="H56" s="72"/>
      <c r="I56" s="72"/>
      <c r="J56" s="72"/>
      <c r="K56" s="72"/>
      <c r="L56" s="72"/>
      <c r="M56" s="125"/>
      <c r="N56" s="72"/>
      <c r="O56" s="72"/>
      <c r="P56" s="72"/>
      <c r="Q56" s="72"/>
    </row>
    <row r="57" spans="2:17" ht="12" customHeight="1" x14ac:dyDescent="0.2">
      <c r="B57" s="72"/>
      <c r="C57" s="72"/>
      <c r="D57" s="72"/>
      <c r="E57" s="86"/>
      <c r="F57" s="72"/>
      <c r="G57" s="131"/>
      <c r="H57" s="72"/>
      <c r="I57" s="72"/>
      <c r="J57" s="72"/>
      <c r="K57" s="72"/>
      <c r="L57" s="72"/>
      <c r="M57" s="125"/>
      <c r="N57" s="72"/>
      <c r="O57" s="72"/>
      <c r="P57" s="72"/>
      <c r="Q57" s="72"/>
    </row>
    <row r="58" spans="2:17" ht="12" customHeight="1" x14ac:dyDescent="0.2">
      <c r="B58" s="72"/>
      <c r="C58" s="72"/>
      <c r="D58" s="72"/>
      <c r="E58" s="86"/>
      <c r="F58" s="72"/>
      <c r="G58" s="131"/>
      <c r="H58" s="72"/>
      <c r="I58" s="72"/>
      <c r="J58" s="72"/>
      <c r="K58" s="72"/>
      <c r="L58" s="72"/>
      <c r="M58" s="125"/>
      <c r="N58" s="72"/>
      <c r="O58" s="72"/>
      <c r="P58" s="72"/>
      <c r="Q58" s="72"/>
    </row>
    <row r="59" spans="2:17" ht="12" customHeight="1" x14ac:dyDescent="0.2">
      <c r="B59" s="72"/>
      <c r="C59" s="72"/>
      <c r="D59" s="72"/>
      <c r="E59" s="86"/>
      <c r="F59" s="72"/>
      <c r="G59" s="131"/>
      <c r="H59" s="72"/>
      <c r="I59" s="72"/>
      <c r="J59" s="72"/>
      <c r="K59" s="72"/>
      <c r="L59" s="72"/>
      <c r="M59" s="125"/>
      <c r="N59" s="72"/>
      <c r="O59" s="72"/>
      <c r="P59" s="72"/>
      <c r="Q59" s="72"/>
    </row>
    <row r="60" spans="2:17" ht="12" customHeight="1" x14ac:dyDescent="0.2">
      <c r="B60" s="72"/>
      <c r="C60" s="72"/>
      <c r="D60" s="72"/>
      <c r="E60" s="86"/>
      <c r="F60" s="72"/>
      <c r="G60" s="131"/>
      <c r="H60" s="72"/>
      <c r="I60" s="72"/>
      <c r="J60" s="72"/>
      <c r="K60" s="72"/>
      <c r="L60" s="72"/>
      <c r="M60" s="125"/>
      <c r="N60" s="72"/>
      <c r="O60" s="72"/>
      <c r="P60" s="72"/>
      <c r="Q60" s="72"/>
    </row>
    <row r="61" spans="2:17" ht="12" customHeight="1" x14ac:dyDescent="0.2">
      <c r="B61" s="72"/>
      <c r="C61" s="72"/>
      <c r="D61" s="72"/>
      <c r="E61" s="86"/>
      <c r="F61" s="72"/>
      <c r="G61" s="131"/>
      <c r="H61" s="72"/>
      <c r="I61" s="72"/>
      <c r="J61" s="72"/>
      <c r="K61" s="72"/>
      <c r="L61" s="72"/>
      <c r="M61" s="125"/>
      <c r="N61" s="72"/>
      <c r="O61" s="72"/>
      <c r="P61" s="72"/>
      <c r="Q61" s="72"/>
    </row>
    <row r="62" spans="2:17" ht="12" customHeight="1" x14ac:dyDescent="0.2">
      <c r="B62" s="72"/>
      <c r="C62" s="72"/>
      <c r="D62" s="72"/>
      <c r="E62" s="86"/>
      <c r="F62" s="72"/>
      <c r="G62" s="131"/>
      <c r="H62" s="72"/>
      <c r="I62" s="72"/>
      <c r="J62" s="72"/>
      <c r="K62" s="72"/>
      <c r="L62" s="72"/>
      <c r="M62" s="125"/>
      <c r="N62" s="72"/>
      <c r="O62" s="72"/>
      <c r="P62" s="72"/>
      <c r="Q62" s="72"/>
    </row>
    <row r="63" spans="2:17" ht="12" customHeight="1" x14ac:dyDescent="0.2">
      <c r="B63" s="72"/>
      <c r="C63" s="72"/>
      <c r="D63" s="72"/>
      <c r="E63" s="86"/>
      <c r="F63" s="72"/>
      <c r="G63" s="131"/>
      <c r="H63" s="72"/>
      <c r="I63" s="72"/>
      <c r="J63" s="72"/>
      <c r="K63" s="72"/>
      <c r="L63" s="72"/>
      <c r="M63" s="125"/>
      <c r="N63" s="72"/>
      <c r="O63" s="72"/>
      <c r="P63" s="72"/>
      <c r="Q63" s="72"/>
    </row>
    <row r="64" spans="2:17" ht="12" customHeight="1" x14ac:dyDescent="0.2">
      <c r="B64" s="72"/>
      <c r="C64" s="72"/>
      <c r="D64" s="72"/>
      <c r="E64" s="86"/>
      <c r="F64" s="72"/>
      <c r="G64" s="131"/>
      <c r="H64" s="72"/>
      <c r="I64" s="72"/>
      <c r="J64" s="72"/>
      <c r="K64" s="72"/>
      <c r="L64" s="72"/>
      <c r="M64" s="125"/>
      <c r="N64" s="72"/>
      <c r="O64" s="72"/>
      <c r="P64" s="72"/>
      <c r="Q64" s="72"/>
    </row>
    <row r="65" spans="2:17" ht="12" customHeight="1" x14ac:dyDescent="0.2">
      <c r="B65" s="72"/>
      <c r="C65" s="72"/>
      <c r="D65" s="72"/>
      <c r="E65" s="86"/>
      <c r="F65" s="72"/>
      <c r="G65" s="131"/>
      <c r="H65" s="72"/>
      <c r="I65" s="72"/>
      <c r="J65" s="72"/>
      <c r="K65" s="72"/>
      <c r="L65" s="72"/>
      <c r="M65" s="125"/>
      <c r="N65" s="72"/>
      <c r="O65" s="72"/>
      <c r="P65" s="72"/>
      <c r="Q65" s="72"/>
    </row>
    <row r="66" spans="2:17" ht="48.75" customHeight="1" x14ac:dyDescent="0.25">
      <c r="B66" s="462" t="s">
        <v>320</v>
      </c>
      <c r="G66" s="131"/>
      <c r="H66" s="462" t="s">
        <v>257</v>
      </c>
      <c r="M66" s="371"/>
      <c r="N66" s="462" t="s">
        <v>258</v>
      </c>
    </row>
    <row r="67" spans="2:17" ht="12" hidden="1" customHeight="1" x14ac:dyDescent="0.25"/>
    <row r="68" spans="2:17" ht="12" hidden="1" customHeight="1" x14ac:dyDescent="0.25"/>
    <row r="69" spans="2:17" ht="12" hidden="1" customHeight="1" x14ac:dyDescent="0.25"/>
  </sheetData>
  <sheetProtection password="C66B" sheet="1" objects="1" scenarios="1" selectLockedCells="1"/>
  <mergeCells count="15">
    <mergeCell ref="H47:L47"/>
    <mergeCell ref="B47:F47"/>
    <mergeCell ref="N47:Q47"/>
    <mergeCell ref="N66:Q1048576"/>
    <mergeCell ref="H66:L1048576"/>
    <mergeCell ref="B66:F1048576"/>
    <mergeCell ref="N1:Q1"/>
    <mergeCell ref="H1:L1"/>
    <mergeCell ref="B1:F1"/>
    <mergeCell ref="N27:Q27"/>
    <mergeCell ref="H27:L27"/>
    <mergeCell ref="B27:F27"/>
    <mergeCell ref="O2:Q2"/>
    <mergeCell ref="J2:L2"/>
    <mergeCell ref="D2:F2"/>
  </mergeCells>
  <printOptions horizontalCentered="1"/>
  <pageMargins left="0.5" right="0.5" top="0.75" bottom="0.5" header="0" footer="0"/>
  <pageSetup scale="74" orientation="portrait" verticalDpi="2048" r:id="rId1"/>
  <headerFooter alignWithMargins="0">
    <oddHeader>&amp;L&amp;G&amp;C&amp;"Calibri,Bold"Outcome Improvement Calculator:
CHANGE IN INVESTMENTS&amp;R&amp;"Verdana,Bold"&amp;14&amp;G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47" max="5" man="1"/>
    <brk id="47" min="7" max="11" man="1"/>
    <brk id="47"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Label 1">
              <controlPr defaultSize="0" autoFill="0" autoLine="0" autoPict="0">
                <anchor moveWithCells="1" sizeWithCells="1">
                  <from>
                    <xdr:col>5</xdr:col>
                    <xdr:colOff>38100</xdr:colOff>
                    <xdr:row>9</xdr:row>
                    <xdr:rowOff>123825</xdr:rowOff>
                  </from>
                  <to>
                    <xdr:col>5</xdr:col>
                    <xdr:colOff>1066800</xdr:colOff>
                    <xdr:row>11</xdr:row>
                    <xdr:rowOff>28575</xdr:rowOff>
                  </to>
                </anchor>
              </controlPr>
            </control>
          </mc:Choice>
        </mc:AlternateContent>
        <mc:AlternateContent xmlns:mc="http://schemas.openxmlformats.org/markup-compatibility/2006">
          <mc:Choice Requires="x14">
            <control shapeId="16386" r:id="rId6" name="Label 2">
              <controlPr defaultSize="0" autoFill="0" autoLine="0" autoPict="0">
                <anchor moveWithCells="1" sizeWithCells="1">
                  <from>
                    <xdr:col>10</xdr:col>
                    <xdr:colOff>1171575</xdr:colOff>
                    <xdr:row>9</xdr:row>
                    <xdr:rowOff>76200</xdr:rowOff>
                  </from>
                  <to>
                    <xdr:col>11</xdr:col>
                    <xdr:colOff>1028700</xdr:colOff>
                    <xdr:row>10</xdr:row>
                    <xdr:rowOff>152400</xdr:rowOff>
                  </to>
                </anchor>
              </controlPr>
            </control>
          </mc:Choice>
        </mc:AlternateContent>
        <mc:AlternateContent xmlns:mc="http://schemas.openxmlformats.org/markup-compatibility/2006">
          <mc:Choice Requires="x14">
            <control shapeId="16387" r:id="rId7" name="Label 3">
              <controlPr defaultSize="0" autoFill="0" autoLine="0" autoPict="0">
                <anchor moveWithCells="1" sizeWithCells="1">
                  <from>
                    <xdr:col>15</xdr:col>
                    <xdr:colOff>1171575</xdr:colOff>
                    <xdr:row>9</xdr:row>
                    <xdr:rowOff>85725</xdr:rowOff>
                  </from>
                  <to>
                    <xdr:col>16</xdr:col>
                    <xdr:colOff>895350</xdr:colOff>
                    <xdr:row>11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70C0"/>
  </sheetPr>
  <dimension ref="A1:IY65"/>
  <sheetViews>
    <sheetView showGridLines="0" zoomScale="80" zoomScaleNormal="80" workbookViewId="0">
      <selection activeCell="E4" sqref="E4"/>
    </sheetView>
  </sheetViews>
  <sheetFormatPr defaultColWidth="0" defaultRowHeight="15" customHeight="1" zeroHeight="1" x14ac:dyDescent="0.25"/>
  <cols>
    <col min="1" max="1" width="1.59765625" style="59" customWidth="1"/>
    <col min="2" max="2" width="10.69921875" style="59" customWidth="1"/>
    <col min="3" max="3" width="2.69921875" style="59" customWidth="1"/>
    <col min="4" max="5" width="12.3984375" style="59" customWidth="1"/>
    <col min="6" max="6" width="12.3984375" customWidth="1"/>
    <col min="7" max="7" width="1.59765625" style="59" customWidth="1"/>
    <col min="8" max="8" width="10.69921875" style="59" customWidth="1"/>
    <col min="9" max="9" width="2.69921875" style="59" customWidth="1"/>
    <col min="10" max="11" width="12.3984375" style="59" customWidth="1"/>
    <col min="12" max="12" width="12.3984375" customWidth="1"/>
    <col min="13" max="13" width="1.59765625" customWidth="1"/>
    <col min="14" max="14" width="13.3984375" style="59" bestFit="1" customWidth="1"/>
    <col min="15" max="17" width="12.3984375" style="59" customWidth="1"/>
    <col min="18" max="18" width="12.3984375" style="59" hidden="1" customWidth="1"/>
    <col min="19" max="259" width="0" style="59" hidden="1" customWidth="1"/>
    <col min="260" max="16384" width="12.3984375" style="60" hidden="1"/>
  </cols>
  <sheetData>
    <row r="1" spans="1:259" s="347" customFormat="1" ht="69" customHeight="1" x14ac:dyDescent="0.25">
      <c r="A1" s="333"/>
      <c r="B1" s="460" t="s">
        <v>321</v>
      </c>
      <c r="C1" s="460"/>
      <c r="D1" s="460"/>
      <c r="E1" s="460"/>
      <c r="F1" s="460"/>
      <c r="G1" s="119"/>
      <c r="H1" s="460" t="s">
        <v>274</v>
      </c>
      <c r="I1" s="460"/>
      <c r="J1" s="460"/>
      <c r="K1" s="460"/>
      <c r="L1" s="460"/>
      <c r="M1" s="125"/>
      <c r="N1" s="460" t="s">
        <v>275</v>
      </c>
      <c r="O1" s="460"/>
      <c r="P1" s="460"/>
      <c r="Q1" s="460"/>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c r="FE1" s="333"/>
      <c r="FF1" s="333"/>
      <c r="FG1" s="333"/>
      <c r="FH1" s="333"/>
      <c r="FI1" s="333"/>
      <c r="FJ1" s="333"/>
      <c r="FK1" s="333"/>
      <c r="FL1" s="333"/>
      <c r="FM1" s="333"/>
      <c r="FN1" s="333"/>
      <c r="FO1" s="333"/>
      <c r="FP1" s="333"/>
      <c r="FQ1" s="333"/>
      <c r="FR1" s="333"/>
      <c r="FS1" s="333"/>
      <c r="FT1" s="333"/>
      <c r="FU1" s="333"/>
      <c r="FV1" s="333"/>
      <c r="FW1" s="333"/>
      <c r="FX1" s="333"/>
      <c r="FY1" s="333"/>
      <c r="FZ1" s="333"/>
      <c r="GA1" s="333"/>
      <c r="GB1" s="333"/>
      <c r="GC1" s="333"/>
      <c r="GD1" s="333"/>
      <c r="GE1" s="333"/>
      <c r="GF1" s="333"/>
      <c r="GG1" s="333"/>
      <c r="GH1" s="333"/>
      <c r="GI1" s="333"/>
      <c r="GJ1" s="333"/>
      <c r="GK1" s="333"/>
      <c r="GL1" s="333"/>
      <c r="GM1" s="333"/>
      <c r="GN1" s="333"/>
      <c r="GO1" s="333"/>
      <c r="GP1" s="333"/>
      <c r="GQ1" s="333"/>
      <c r="GR1" s="333"/>
      <c r="GS1" s="333"/>
      <c r="GT1" s="333"/>
      <c r="GU1" s="333"/>
      <c r="GV1" s="333"/>
      <c r="GW1" s="333"/>
      <c r="GX1" s="333"/>
      <c r="GY1" s="333"/>
      <c r="GZ1" s="333"/>
      <c r="HA1" s="333"/>
      <c r="HB1" s="333"/>
      <c r="HC1" s="333"/>
      <c r="HD1" s="333"/>
      <c r="HE1" s="333"/>
      <c r="HF1" s="333"/>
      <c r="HG1" s="333"/>
      <c r="HH1" s="333"/>
      <c r="HI1" s="333"/>
      <c r="HJ1" s="333"/>
      <c r="HK1" s="333"/>
      <c r="HL1" s="333"/>
      <c r="HM1" s="333"/>
      <c r="HN1" s="333"/>
      <c r="HO1" s="333"/>
      <c r="HP1" s="333"/>
      <c r="HQ1" s="333"/>
      <c r="HR1" s="333"/>
      <c r="HS1" s="333"/>
      <c r="HT1" s="333"/>
      <c r="HU1" s="333"/>
      <c r="HV1" s="333"/>
      <c r="HW1" s="333"/>
      <c r="HX1" s="333"/>
      <c r="HY1" s="333"/>
      <c r="HZ1" s="333"/>
      <c r="IA1" s="333"/>
      <c r="IB1" s="333"/>
      <c r="IC1" s="333"/>
      <c r="ID1" s="333"/>
      <c r="IE1" s="333"/>
      <c r="IF1" s="333"/>
      <c r="IG1" s="333"/>
      <c r="IH1" s="333"/>
      <c r="II1" s="333"/>
      <c r="IJ1" s="333"/>
      <c r="IK1" s="333"/>
      <c r="IL1" s="333"/>
      <c r="IM1" s="333"/>
      <c r="IN1" s="333"/>
      <c r="IO1" s="333"/>
      <c r="IP1" s="333"/>
      <c r="IQ1" s="333"/>
      <c r="IR1" s="333"/>
      <c r="IS1" s="333"/>
      <c r="IT1" s="333"/>
      <c r="IU1" s="333"/>
      <c r="IV1" s="333"/>
      <c r="IW1" s="333"/>
      <c r="IX1" s="333"/>
      <c r="IY1" s="333"/>
    </row>
    <row r="2" spans="1:259" ht="15.75" customHeight="1" x14ac:dyDescent="0.25">
      <c r="A2" s="56"/>
      <c r="B2" s="56"/>
      <c r="C2" s="56"/>
      <c r="D2" s="472" t="s">
        <v>307</v>
      </c>
      <c r="E2" s="473"/>
      <c r="G2" s="119"/>
      <c r="H2" s="56"/>
      <c r="I2" s="56"/>
      <c r="J2" s="472" t="s">
        <v>44</v>
      </c>
      <c r="K2" s="473"/>
      <c r="M2" s="125"/>
      <c r="N2"/>
      <c r="O2" s="474" t="s">
        <v>45</v>
      </c>
      <c r="P2" s="475"/>
    </row>
    <row r="3" spans="1:259" ht="30.75" customHeight="1" x14ac:dyDescent="0.25">
      <c r="A3" s="56"/>
      <c r="B3" s="220"/>
      <c r="C3" s="220"/>
      <c r="D3" s="93" t="s">
        <v>61</v>
      </c>
      <c r="E3" s="93" t="s">
        <v>62</v>
      </c>
      <c r="G3" s="119"/>
      <c r="H3" s="220"/>
      <c r="I3" s="220"/>
      <c r="J3" s="93" t="s">
        <v>61</v>
      </c>
      <c r="K3" s="93" t="s">
        <v>62</v>
      </c>
      <c r="M3" s="125"/>
      <c r="N3"/>
      <c r="O3" s="93" t="s">
        <v>61</v>
      </c>
      <c r="P3" s="93" t="s">
        <v>62</v>
      </c>
    </row>
    <row r="4" spans="1:259" ht="15.95" customHeight="1" x14ac:dyDescent="0.25">
      <c r="B4" s="116" t="s">
        <v>4</v>
      </c>
      <c r="C4" s="116"/>
      <c r="D4" s="96">
        <f>Formulas!AE5</f>
        <v>0.14716981132075471</v>
      </c>
      <c r="E4" s="178"/>
      <c r="G4" s="128"/>
      <c r="H4" s="116" t="s">
        <v>4</v>
      </c>
      <c r="I4" s="116"/>
      <c r="J4" s="96">
        <f>Formulas!AE12</f>
        <v>0.10948905109489052</v>
      </c>
      <c r="K4" s="178"/>
      <c r="M4" s="125"/>
      <c r="N4" s="116" t="s">
        <v>4</v>
      </c>
      <c r="O4" s="96">
        <f>Formulas!AE19</f>
        <v>0.13432835820895522</v>
      </c>
      <c r="P4" s="97" t="str">
        <f>IF(Formulas!AX19='9.Change Returns to Hmls'!O4,"",Formulas!AX19)</f>
        <v/>
      </c>
    </row>
    <row r="5" spans="1:259" ht="15.95" customHeight="1" x14ac:dyDescent="0.25">
      <c r="B5" s="116" t="s">
        <v>3</v>
      </c>
      <c r="C5" s="116"/>
      <c r="D5" s="96">
        <f>Formulas!AE6</f>
        <v>7.1428571428571425E-2</v>
      </c>
      <c r="E5" s="178"/>
      <c r="G5" s="128"/>
      <c r="H5" s="116" t="s">
        <v>3</v>
      </c>
      <c r="I5" s="116"/>
      <c r="J5" s="96">
        <f>Formulas!AE13</f>
        <v>8.8607594936708861E-2</v>
      </c>
      <c r="K5" s="178"/>
      <c r="M5" s="125"/>
      <c r="N5" s="116" t="s">
        <v>3</v>
      </c>
      <c r="O5" s="96">
        <f>Formulas!AE20</f>
        <v>8.203125E-2</v>
      </c>
      <c r="P5" s="97" t="str">
        <f>IF(Formulas!AX20='9.Change Returns to Hmls'!O5,"",Formulas!AX20)</f>
        <v/>
      </c>
    </row>
    <row r="6" spans="1:259" ht="15.95" customHeight="1" x14ac:dyDescent="0.25">
      <c r="B6" s="116" t="s">
        <v>2</v>
      </c>
      <c r="C6" s="116"/>
      <c r="D6" s="96">
        <f>Formulas!AE7</f>
        <v>8.9285714285714288E-2</v>
      </c>
      <c r="E6" s="178"/>
      <c r="G6" s="128"/>
      <c r="H6" s="116" t="s">
        <v>2</v>
      </c>
      <c r="I6" s="116"/>
      <c r="J6" s="96">
        <f>Formulas!AE14</f>
        <v>3.8297872340425532E-2</v>
      </c>
      <c r="K6" s="178"/>
      <c r="M6" s="125"/>
      <c r="N6" s="116" t="s">
        <v>2</v>
      </c>
      <c r="O6" s="96">
        <f>Formulas!AE21</f>
        <v>5.4755043227665709E-2</v>
      </c>
      <c r="P6" s="97" t="str">
        <f>IF(Formulas!AX21='9.Change Returns to Hmls'!O6,"",Formulas!AX21)</f>
        <v/>
      </c>
    </row>
    <row r="7" spans="1:259" ht="15.95" customHeight="1" x14ac:dyDescent="0.25">
      <c r="A7" s="60"/>
      <c r="B7" s="60"/>
      <c r="C7" s="60"/>
      <c r="D7" s="56"/>
      <c r="E7" s="56"/>
      <c r="G7" s="119"/>
      <c r="H7" s="56"/>
      <c r="I7" s="56"/>
      <c r="J7"/>
      <c r="K7"/>
      <c r="M7" s="125"/>
      <c r="N7"/>
      <c r="O7"/>
      <c r="P7" s="56"/>
    </row>
    <row r="8" spans="1:259" ht="15.95" customHeight="1" x14ac:dyDescent="0.25">
      <c r="A8" s="60"/>
      <c r="B8" s="60"/>
      <c r="C8" s="60"/>
      <c r="D8" s="56"/>
      <c r="E8" s="56"/>
      <c r="G8" s="119"/>
      <c r="H8" s="56"/>
      <c r="I8" s="56"/>
      <c r="J8" s="56"/>
      <c r="K8" s="56"/>
      <c r="M8" s="125"/>
      <c r="N8" s="56"/>
      <c r="O8" s="56"/>
      <c r="P8" s="56"/>
    </row>
    <row r="9" spans="1:259" ht="15.95" customHeight="1" x14ac:dyDescent="0.25">
      <c r="A9" s="60"/>
      <c r="B9" s="60"/>
      <c r="C9" s="60"/>
      <c r="D9" s="56"/>
      <c r="E9" s="56"/>
      <c r="G9" s="119"/>
      <c r="H9" s="56"/>
      <c r="I9" s="56"/>
      <c r="J9" s="56"/>
      <c r="K9" s="56"/>
      <c r="M9" s="125"/>
      <c r="N9" s="56"/>
      <c r="O9" s="56"/>
      <c r="P9" s="56"/>
    </row>
    <row r="10" spans="1:259" ht="15.95" customHeight="1" x14ac:dyDescent="0.25">
      <c r="A10" s="60"/>
      <c r="B10" s="60"/>
      <c r="C10" s="60"/>
      <c r="D10" s="56"/>
      <c r="E10" s="56"/>
      <c r="G10" s="119"/>
      <c r="H10" s="56"/>
      <c r="I10" s="56"/>
      <c r="J10" s="56"/>
      <c r="K10" s="56"/>
      <c r="M10" s="125"/>
      <c r="N10" s="56"/>
      <c r="O10" s="56"/>
      <c r="P10" s="56"/>
    </row>
    <row r="11" spans="1:259" ht="15.95" customHeight="1" x14ac:dyDescent="0.25">
      <c r="A11" s="60"/>
      <c r="B11" s="60"/>
      <c r="C11" s="60"/>
      <c r="D11" s="56"/>
      <c r="E11" s="56"/>
      <c r="G11" s="119"/>
      <c r="H11" s="56"/>
      <c r="I11" s="56"/>
      <c r="J11" s="56"/>
      <c r="K11" s="56"/>
      <c r="M11" s="125"/>
      <c r="N11" s="56"/>
      <c r="O11" s="56"/>
      <c r="P11" s="56"/>
    </row>
    <row r="12" spans="1:259" ht="15.95" customHeight="1" x14ac:dyDescent="0.25">
      <c r="A12" s="60"/>
      <c r="B12" s="60"/>
      <c r="C12" s="60"/>
      <c r="D12" s="56"/>
      <c r="E12" s="56"/>
      <c r="G12" s="119"/>
      <c r="H12" s="56"/>
      <c r="I12" s="56"/>
      <c r="J12" s="56"/>
      <c r="K12" s="56"/>
      <c r="M12" s="125"/>
      <c r="N12" s="56"/>
      <c r="O12" s="56"/>
      <c r="P12" s="56"/>
    </row>
    <row r="13" spans="1:259" ht="15.95" customHeight="1" x14ac:dyDescent="0.25">
      <c r="A13" s="60"/>
      <c r="B13" s="60"/>
      <c r="C13" s="60"/>
      <c r="D13" s="56"/>
      <c r="E13" s="56"/>
      <c r="G13" s="119"/>
      <c r="H13" s="56"/>
      <c r="I13" s="56"/>
      <c r="J13" s="56"/>
      <c r="K13" s="56"/>
      <c r="M13" s="125"/>
      <c r="N13" s="56"/>
      <c r="O13" s="56"/>
      <c r="P13" s="56"/>
    </row>
    <row r="14" spans="1:259" ht="15.95" customHeight="1" x14ac:dyDescent="0.25">
      <c r="A14" s="56"/>
      <c r="B14" s="56"/>
      <c r="C14" s="56"/>
      <c r="D14" s="56"/>
      <c r="E14" s="56"/>
      <c r="G14" s="119"/>
      <c r="H14" s="56"/>
      <c r="I14" s="56"/>
      <c r="J14" s="56"/>
      <c r="K14" s="56"/>
      <c r="M14" s="125"/>
      <c r="N14" s="56"/>
      <c r="O14" s="56"/>
      <c r="P14" s="56"/>
    </row>
    <row r="15" spans="1:259" ht="15.95" customHeight="1" x14ac:dyDescent="0.25">
      <c r="A15" s="56"/>
      <c r="B15" s="56"/>
      <c r="C15" s="56"/>
      <c r="D15" s="56"/>
      <c r="E15" s="56"/>
      <c r="G15" s="119"/>
      <c r="H15" s="56"/>
      <c r="I15" s="56"/>
      <c r="J15" s="56"/>
      <c r="K15" s="56"/>
      <c r="M15" s="125"/>
      <c r="N15" s="56"/>
      <c r="O15" s="56"/>
      <c r="P15" s="56"/>
    </row>
    <row r="16" spans="1:259" ht="15.95" customHeight="1" x14ac:dyDescent="0.25">
      <c r="A16" s="56"/>
      <c r="B16" s="56"/>
      <c r="C16" s="56"/>
      <c r="D16" s="56"/>
      <c r="E16" s="56"/>
      <c r="G16" s="119"/>
      <c r="H16" s="56"/>
      <c r="I16" s="56"/>
      <c r="J16" s="56"/>
      <c r="K16" s="56"/>
      <c r="M16" s="125"/>
      <c r="N16" s="56"/>
      <c r="O16" s="56"/>
      <c r="P16" s="56"/>
    </row>
    <row r="17" spans="1:259" ht="15.95" customHeight="1" x14ac:dyDescent="0.25">
      <c r="A17" s="56"/>
      <c r="B17" s="56"/>
      <c r="C17" s="56"/>
      <c r="D17" s="56"/>
      <c r="E17" s="56"/>
      <c r="G17" s="119"/>
      <c r="H17" s="56"/>
      <c r="I17" s="56"/>
      <c r="J17" s="56"/>
      <c r="K17" s="56"/>
      <c r="M17" s="125"/>
      <c r="N17" s="56"/>
      <c r="O17" s="56"/>
      <c r="P17" s="56"/>
    </row>
    <row r="18" spans="1:259" ht="15.95" customHeight="1" x14ac:dyDescent="0.25">
      <c r="A18" s="56"/>
      <c r="B18" s="56"/>
      <c r="C18" s="56"/>
      <c r="D18" s="76"/>
      <c r="E18" s="76"/>
      <c r="G18" s="129"/>
      <c r="H18" s="76"/>
      <c r="I18" s="76"/>
      <c r="J18" s="76"/>
      <c r="K18" s="76"/>
      <c r="M18" s="125"/>
      <c r="N18" s="56"/>
      <c r="O18" s="56"/>
      <c r="P18" s="56"/>
    </row>
    <row r="19" spans="1:259" ht="15.95" customHeight="1" x14ac:dyDescent="0.25">
      <c r="A19" s="56"/>
      <c r="B19" s="56"/>
      <c r="C19" s="56"/>
      <c r="D19" s="76"/>
      <c r="E19" s="76"/>
      <c r="G19" s="129"/>
      <c r="H19" s="76"/>
      <c r="I19" s="76"/>
      <c r="J19" s="76"/>
      <c r="K19" s="76"/>
      <c r="M19" s="125"/>
      <c r="N19" s="56"/>
      <c r="O19" s="56"/>
      <c r="P19" s="56"/>
    </row>
    <row r="20" spans="1:259" ht="15.95" customHeight="1" x14ac:dyDescent="0.25">
      <c r="A20" s="56"/>
      <c r="B20" s="56"/>
      <c r="C20" s="56"/>
      <c r="D20" s="76"/>
      <c r="E20" s="76"/>
      <c r="G20" s="129"/>
      <c r="H20" s="76"/>
      <c r="I20" s="76"/>
      <c r="J20" s="76"/>
      <c r="K20" s="76"/>
      <c r="M20" s="125"/>
      <c r="N20" s="56"/>
      <c r="O20" s="56"/>
      <c r="P20" s="56"/>
    </row>
    <row r="21" spans="1:259" ht="15.95" customHeight="1" x14ac:dyDescent="0.25">
      <c r="A21" s="56"/>
      <c r="B21" s="56"/>
      <c r="C21" s="56"/>
      <c r="D21" s="76"/>
      <c r="E21" s="76"/>
      <c r="G21" s="129"/>
      <c r="H21" s="76"/>
      <c r="I21" s="76"/>
      <c r="J21" s="76"/>
      <c r="K21" s="76"/>
      <c r="M21" s="125"/>
      <c r="N21" s="56"/>
      <c r="O21" s="56"/>
      <c r="P21" s="56"/>
    </row>
    <row r="22" spans="1:259" s="351" customFormat="1" ht="67.5" customHeight="1" x14ac:dyDescent="0.2">
      <c r="A22" s="348"/>
      <c r="B22" s="463" t="s">
        <v>322</v>
      </c>
      <c r="C22" s="463"/>
      <c r="D22" s="463"/>
      <c r="E22" s="463"/>
      <c r="F22" s="463"/>
      <c r="G22" s="349"/>
      <c r="H22" s="463" t="s">
        <v>276</v>
      </c>
      <c r="I22" s="463"/>
      <c r="J22" s="463"/>
      <c r="K22" s="463"/>
      <c r="L22" s="463"/>
      <c r="M22" s="349"/>
      <c r="N22" s="463" t="s">
        <v>277</v>
      </c>
      <c r="O22" s="463"/>
      <c r="P22" s="463"/>
      <c r="Q22" s="463"/>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c r="IR22" s="350"/>
      <c r="IS22" s="350"/>
      <c r="IT22" s="350"/>
      <c r="IU22" s="350"/>
      <c r="IV22" s="350"/>
      <c r="IW22" s="350"/>
      <c r="IX22" s="350"/>
      <c r="IY22" s="350"/>
    </row>
    <row r="23" spans="1:259" ht="15" customHeight="1" x14ac:dyDescent="0.25">
      <c r="D23" s="76"/>
      <c r="E23" s="76"/>
      <c r="G23" s="129"/>
      <c r="H23" s="76"/>
      <c r="I23" s="76"/>
      <c r="J23" s="76"/>
      <c r="K23" s="76"/>
      <c r="M23" s="125"/>
    </row>
    <row r="24" spans="1:259" ht="15" customHeight="1" x14ac:dyDescent="0.25">
      <c r="G24" s="122"/>
      <c r="M24" s="125"/>
    </row>
    <row r="25" spans="1:259" ht="15" customHeight="1" x14ac:dyDescent="0.25">
      <c r="G25" s="122"/>
      <c r="M25" s="125"/>
    </row>
    <row r="26" spans="1:259" ht="15" customHeight="1" x14ac:dyDescent="0.25">
      <c r="G26" s="122"/>
      <c r="M26" s="125"/>
    </row>
    <row r="27" spans="1:259" ht="15" customHeight="1" x14ac:dyDescent="0.25">
      <c r="G27" s="122"/>
      <c r="M27" s="125"/>
    </row>
    <row r="28" spans="1:259" ht="15" customHeight="1" x14ac:dyDescent="0.25">
      <c r="G28" s="122"/>
      <c r="M28" s="125"/>
    </row>
    <row r="29" spans="1:259" ht="15" customHeight="1" x14ac:dyDescent="0.25">
      <c r="G29" s="122"/>
      <c r="M29" s="125"/>
    </row>
    <row r="30" spans="1:259" ht="15" customHeight="1" x14ac:dyDescent="0.25">
      <c r="G30" s="122"/>
      <c r="M30" s="125"/>
    </row>
    <row r="31" spans="1:259" ht="15" customHeight="1" x14ac:dyDescent="0.25">
      <c r="G31" s="122"/>
      <c r="M31" s="125"/>
    </row>
    <row r="32" spans="1:259" ht="15" customHeight="1" x14ac:dyDescent="0.25">
      <c r="G32" s="122"/>
      <c r="M32" s="125"/>
    </row>
    <row r="33" spans="1:259" ht="15" customHeight="1" x14ac:dyDescent="0.25">
      <c r="G33" s="122"/>
      <c r="M33" s="125"/>
    </row>
    <row r="34" spans="1:259" ht="15" customHeight="1" x14ac:dyDescent="0.25">
      <c r="G34" s="122"/>
      <c r="M34" s="125"/>
    </row>
    <row r="35" spans="1:259" ht="15" customHeight="1" x14ac:dyDescent="0.25">
      <c r="G35" s="122"/>
      <c r="M35" s="125"/>
    </row>
    <row r="36" spans="1:259" ht="15" customHeight="1" x14ac:dyDescent="0.25">
      <c r="G36" s="122"/>
      <c r="M36" s="125"/>
    </row>
    <row r="37" spans="1:259" ht="15" customHeight="1" x14ac:dyDescent="0.25">
      <c r="G37" s="122"/>
      <c r="M37" s="125"/>
    </row>
    <row r="38" spans="1:259" s="351" customFormat="1" ht="100.5" customHeight="1" x14ac:dyDescent="0.25">
      <c r="A38" s="350"/>
      <c r="B38" s="462" t="s">
        <v>323</v>
      </c>
      <c r="C38" s="462"/>
      <c r="D38" s="462"/>
      <c r="E38" s="462"/>
      <c r="F38" s="462"/>
      <c r="G38" s="122"/>
      <c r="H38" s="462" t="s">
        <v>259</v>
      </c>
      <c r="I38" s="462"/>
      <c r="J38" s="462"/>
      <c r="K38" s="462"/>
      <c r="L38" s="462"/>
      <c r="M38" s="125"/>
      <c r="N38" s="462" t="s">
        <v>260</v>
      </c>
      <c r="O38" s="462"/>
      <c r="P38" s="462"/>
      <c r="Q38" s="462"/>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c r="IR38" s="350"/>
      <c r="IS38" s="350"/>
      <c r="IT38" s="350"/>
      <c r="IU38" s="350"/>
      <c r="IV38" s="350"/>
      <c r="IW38" s="350"/>
      <c r="IX38" s="350"/>
      <c r="IY38" s="350"/>
    </row>
    <row r="39" spans="1:259" ht="15" hidden="1" customHeight="1" x14ac:dyDescent="0.25"/>
    <row r="40" spans="1:259" ht="15" hidden="1" customHeight="1" x14ac:dyDescent="0.25"/>
    <row r="41" spans="1:259" ht="15" hidden="1" customHeight="1" x14ac:dyDescent="0.25"/>
    <row r="42" spans="1:259" ht="15" hidden="1" customHeight="1" x14ac:dyDescent="0.25"/>
    <row r="43" spans="1:259" ht="15" hidden="1" customHeight="1" x14ac:dyDescent="0.25"/>
    <row r="44" spans="1:259" ht="15" hidden="1" customHeight="1" x14ac:dyDescent="0.25"/>
    <row r="45" spans="1:259" ht="15" hidden="1" customHeight="1" x14ac:dyDescent="0.25"/>
    <row r="46" spans="1:259" ht="15" hidden="1" customHeight="1" x14ac:dyDescent="0.25"/>
    <row r="47" spans="1:259" ht="15" hidden="1" customHeight="1" x14ac:dyDescent="0.25"/>
    <row r="48" spans="1:25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0.7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sheetData>
  <sheetProtection password="C66B" sheet="1" objects="1" scenarios="1" selectLockedCells="1"/>
  <mergeCells count="12">
    <mergeCell ref="H22:L22"/>
    <mergeCell ref="B22:F22"/>
    <mergeCell ref="N22:Q22"/>
    <mergeCell ref="N38:Q38"/>
    <mergeCell ref="H38:L38"/>
    <mergeCell ref="B38:F38"/>
    <mergeCell ref="D2:E2"/>
    <mergeCell ref="J2:K2"/>
    <mergeCell ref="O2:P2"/>
    <mergeCell ref="H1:L1"/>
    <mergeCell ref="B1:F1"/>
    <mergeCell ref="N1:Q1"/>
  </mergeCells>
  <printOptions horizontalCentered="1"/>
  <pageMargins left="0.5" right="0.5" top="1" bottom="0.5" header="0" footer="0"/>
  <pageSetup scale="74" orientation="portrait" verticalDpi="2048" r:id="rId1"/>
  <headerFooter alignWithMargins="0">
    <oddHeader>&amp;L&amp;G&amp;C&amp;"Calibri,Bold"Performance Outcome Calculator:
CHANGE IN RETURNS TO HOMELESSNESS&amp;R&amp;G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4" r:id="rId5" name="Label 2">
              <controlPr defaultSize="0" autoFill="0" autoLine="0" autoPict="0">
                <anchor moveWithCells="1" sizeWithCells="1">
                  <from>
                    <xdr:col>4</xdr:col>
                    <xdr:colOff>771525</xdr:colOff>
                    <xdr:row>8</xdr:row>
                    <xdr:rowOff>133350</xdr:rowOff>
                  </from>
                  <to>
                    <xdr:col>5</xdr:col>
                    <xdr:colOff>742950</xdr:colOff>
                    <xdr:row>10</xdr:row>
                    <xdr:rowOff>28575</xdr:rowOff>
                  </to>
                </anchor>
              </controlPr>
            </control>
          </mc:Choice>
        </mc:AlternateContent>
        <mc:AlternateContent xmlns:mc="http://schemas.openxmlformats.org/markup-compatibility/2006">
          <mc:Choice Requires="x14">
            <control shapeId="13315" r:id="rId6" name="Label 3">
              <controlPr defaultSize="0" autoFill="0" autoLine="0" autoPict="0">
                <anchor moveWithCells="1" sizeWithCells="1">
                  <from>
                    <xdr:col>10</xdr:col>
                    <xdr:colOff>952500</xdr:colOff>
                    <xdr:row>8</xdr:row>
                    <xdr:rowOff>76200</xdr:rowOff>
                  </from>
                  <to>
                    <xdr:col>11</xdr:col>
                    <xdr:colOff>1028700</xdr:colOff>
                    <xdr:row>9</xdr:row>
                    <xdr:rowOff>133350</xdr:rowOff>
                  </to>
                </anchor>
              </controlPr>
            </control>
          </mc:Choice>
        </mc:AlternateContent>
        <mc:AlternateContent xmlns:mc="http://schemas.openxmlformats.org/markup-compatibility/2006">
          <mc:Choice Requires="x14">
            <control shapeId="13316" r:id="rId7" name="Label 4">
              <controlPr defaultSize="0" autoFill="0" autoLine="0" autoPict="0">
                <anchor moveWithCells="1" sizeWithCells="1">
                  <from>
                    <xdr:col>15</xdr:col>
                    <xdr:colOff>857250</xdr:colOff>
                    <xdr:row>8</xdr:row>
                    <xdr:rowOff>95250</xdr:rowOff>
                  </from>
                  <to>
                    <xdr:col>16</xdr:col>
                    <xdr:colOff>981075</xdr:colOff>
                    <xdr:row>9</xdr:row>
                    <xdr:rowOff>161925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tint="-0.249977111117893"/>
  </sheetPr>
  <dimension ref="A1:IV114"/>
  <sheetViews>
    <sheetView showGridLines="0" zoomScale="80" zoomScaleNormal="80" workbookViewId="0">
      <selection activeCell="G79" sqref="G79"/>
    </sheetView>
  </sheetViews>
  <sheetFormatPr defaultColWidth="0" defaultRowHeight="15" customHeight="1" x14ac:dyDescent="0.25"/>
  <cols>
    <col min="1" max="1" width="1.59765625" style="59" customWidth="1"/>
    <col min="2" max="2" width="14.09765625" style="59" bestFit="1" customWidth="1"/>
    <col min="3" max="5" width="12.3984375" style="59" customWidth="1"/>
    <col min="6" max="6" width="1.59765625" style="133" customWidth="1"/>
    <col min="7" max="7" width="14.09765625" style="59" bestFit="1" customWidth="1"/>
    <col min="8" max="10" width="12.3984375" style="59" customWidth="1"/>
    <col min="11" max="11" width="1.59765625" style="133" customWidth="1"/>
    <col min="12" max="12" width="14.09765625" style="59" bestFit="1" customWidth="1"/>
    <col min="13" max="13" width="12.3984375" style="134" customWidth="1"/>
    <col min="14" max="15" width="12.3984375" style="137" customWidth="1"/>
    <col min="16" max="16" width="0" style="133" hidden="1" customWidth="1"/>
    <col min="17" max="25" width="0" style="134" hidden="1" customWidth="1"/>
    <col min="26" max="256" width="0" style="59" hidden="1" customWidth="1"/>
    <col min="257" max="16384" width="12.3984375" style="99" hidden="1"/>
  </cols>
  <sheetData>
    <row r="1" spans="1:256" s="376" customFormat="1" ht="65.25" customHeight="1" x14ac:dyDescent="0.25">
      <c r="A1" s="373"/>
      <c r="B1" s="479" t="s">
        <v>261</v>
      </c>
      <c r="C1" s="479"/>
      <c r="D1" s="479"/>
      <c r="E1" s="479"/>
      <c r="F1" s="374"/>
      <c r="G1" s="479" t="s">
        <v>261</v>
      </c>
      <c r="H1" s="479"/>
      <c r="I1" s="479"/>
      <c r="J1" s="479"/>
      <c r="K1" s="374"/>
      <c r="L1" s="479" t="s">
        <v>261</v>
      </c>
      <c r="M1" s="479"/>
      <c r="N1" s="479"/>
      <c r="O1" s="479"/>
      <c r="P1" s="375"/>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c r="FE1" s="373"/>
      <c r="FF1" s="373"/>
      <c r="FG1" s="373"/>
      <c r="FH1" s="373"/>
      <c r="FI1" s="373"/>
      <c r="FJ1" s="373"/>
      <c r="FK1" s="373"/>
      <c r="FL1" s="373"/>
      <c r="FM1" s="373"/>
      <c r="FN1" s="373"/>
      <c r="FO1" s="373"/>
      <c r="FP1" s="373"/>
      <c r="FQ1" s="373"/>
      <c r="FR1" s="373"/>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3"/>
      <c r="GV1" s="373"/>
      <c r="GW1" s="373"/>
      <c r="GX1" s="373"/>
      <c r="GY1" s="373"/>
      <c r="GZ1" s="373"/>
      <c r="HA1" s="373"/>
      <c r="HB1" s="373"/>
      <c r="HC1" s="373"/>
      <c r="HD1" s="373"/>
      <c r="HE1" s="373"/>
      <c r="HF1" s="373"/>
      <c r="HG1" s="373"/>
      <c r="HH1" s="373"/>
      <c r="HI1" s="373"/>
      <c r="HJ1" s="373"/>
      <c r="HK1" s="373"/>
      <c r="HL1" s="373"/>
      <c r="HM1" s="373"/>
      <c r="HN1" s="373"/>
      <c r="HO1" s="373"/>
      <c r="HP1" s="373"/>
      <c r="HQ1" s="373"/>
      <c r="HR1" s="373"/>
      <c r="HS1" s="373"/>
      <c r="HT1" s="373"/>
      <c r="HU1" s="373"/>
      <c r="HV1" s="373"/>
      <c r="HW1" s="373"/>
      <c r="HX1" s="373"/>
      <c r="HY1" s="373"/>
      <c r="HZ1" s="373"/>
      <c r="IA1" s="373"/>
      <c r="IB1" s="373"/>
      <c r="IC1" s="373"/>
      <c r="ID1" s="373"/>
      <c r="IE1" s="373"/>
      <c r="IF1" s="373"/>
      <c r="IG1" s="373"/>
      <c r="IH1" s="373"/>
      <c r="II1" s="373"/>
      <c r="IJ1" s="373"/>
      <c r="IK1" s="373"/>
      <c r="IL1" s="373"/>
      <c r="IM1" s="373"/>
      <c r="IN1" s="373"/>
      <c r="IO1" s="373"/>
      <c r="IP1" s="373"/>
      <c r="IQ1" s="373"/>
      <c r="IR1" s="373"/>
      <c r="IS1" s="373"/>
      <c r="IT1" s="373"/>
      <c r="IU1" s="373"/>
      <c r="IV1" s="373"/>
    </row>
    <row r="2" spans="1:256" s="60" customFormat="1" ht="21" customHeight="1" x14ac:dyDescent="0.25">
      <c r="A2" s="114"/>
      <c r="B2" s="476" t="s">
        <v>307</v>
      </c>
      <c r="C2" s="477"/>
      <c r="D2" s="477"/>
      <c r="E2" s="478"/>
      <c r="F2" s="129"/>
      <c r="G2" s="476" t="s">
        <v>44</v>
      </c>
      <c r="H2" s="477"/>
      <c r="I2" s="477"/>
      <c r="J2" s="478"/>
      <c r="K2" s="129"/>
      <c r="L2" s="476" t="s">
        <v>45</v>
      </c>
      <c r="M2" s="477"/>
      <c r="N2" s="477"/>
      <c r="O2" s="478"/>
      <c r="P2" s="76"/>
      <c r="Q2" s="115"/>
      <c r="R2" s="115"/>
      <c r="S2" s="115"/>
      <c r="T2" s="115"/>
      <c r="U2" s="115"/>
      <c r="V2" s="115"/>
      <c r="W2" s="115"/>
      <c r="X2" s="115"/>
      <c r="Y2" s="115"/>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256" customFormat="1" ht="15" customHeight="1" x14ac:dyDescent="0.2">
      <c r="F3" s="125"/>
      <c r="K3" s="125"/>
    </row>
    <row r="4" spans="1:256" customFormat="1" ht="15" customHeight="1" x14ac:dyDescent="0.2">
      <c r="F4" s="125"/>
      <c r="K4" s="125"/>
    </row>
    <row r="5" spans="1:256" customFormat="1" ht="15" customHeight="1" x14ac:dyDescent="0.2">
      <c r="F5" s="125"/>
      <c r="K5" s="125"/>
    </row>
    <row r="6" spans="1:256" customFormat="1" ht="15" customHeight="1" x14ac:dyDescent="0.2">
      <c r="F6" s="125"/>
      <c r="K6" s="125"/>
    </row>
    <row r="7" spans="1:256" customFormat="1" ht="15" customHeight="1" x14ac:dyDescent="0.2">
      <c r="F7" s="125"/>
      <c r="K7" s="125"/>
    </row>
    <row r="8" spans="1:256" customFormat="1" ht="15" customHeight="1" x14ac:dyDescent="0.2">
      <c r="F8" s="125"/>
      <c r="K8" s="125"/>
    </row>
    <row r="9" spans="1:256" customFormat="1" ht="15" customHeight="1" x14ac:dyDescent="0.2">
      <c r="F9" s="125"/>
      <c r="K9" s="125"/>
    </row>
    <row r="10" spans="1:256" customFormat="1" ht="15" customHeight="1" x14ac:dyDescent="0.2">
      <c r="F10" s="125"/>
      <c r="K10" s="125"/>
    </row>
    <row r="11" spans="1:256" customFormat="1" ht="15" customHeight="1" x14ac:dyDescent="0.2">
      <c r="F11" s="125"/>
      <c r="K11" s="125"/>
    </row>
    <row r="12" spans="1:256" customFormat="1" ht="15" customHeight="1" x14ac:dyDescent="0.2">
      <c r="F12" s="125"/>
      <c r="K12" s="125"/>
    </row>
    <row r="13" spans="1:256" customFormat="1" ht="15" customHeight="1" x14ac:dyDescent="0.2">
      <c r="F13" s="125"/>
      <c r="K13" s="125"/>
    </row>
    <row r="14" spans="1:256" customFormat="1" ht="15" customHeight="1" x14ac:dyDescent="0.2">
      <c r="F14" s="125"/>
      <c r="K14" s="125"/>
    </row>
    <row r="15" spans="1:256" customFormat="1" ht="15" customHeight="1" x14ac:dyDescent="0.2">
      <c r="F15" s="125"/>
      <c r="K15" s="125"/>
    </row>
    <row r="16" spans="1:256" customFormat="1" ht="15" customHeight="1" x14ac:dyDescent="0.2">
      <c r="F16" s="125"/>
      <c r="K16" s="125"/>
    </row>
    <row r="17" spans="6:11" customFormat="1" ht="15" customHeight="1" x14ac:dyDescent="0.2">
      <c r="F17" s="125"/>
      <c r="K17" s="125"/>
    </row>
    <row r="18" spans="6:11" customFormat="1" ht="15" customHeight="1" x14ac:dyDescent="0.2">
      <c r="F18" s="125"/>
      <c r="K18" s="125"/>
    </row>
    <row r="19" spans="6:11" customFormat="1" ht="15" customHeight="1" x14ac:dyDescent="0.2">
      <c r="F19" s="125"/>
      <c r="K19" s="125"/>
    </row>
    <row r="20" spans="6:11" customFormat="1" ht="15" customHeight="1" x14ac:dyDescent="0.2">
      <c r="F20" s="125"/>
      <c r="K20" s="125"/>
    </row>
    <row r="21" spans="6:11" customFormat="1" ht="15" customHeight="1" x14ac:dyDescent="0.2">
      <c r="F21" s="125"/>
      <c r="K21" s="125"/>
    </row>
    <row r="22" spans="6:11" customFormat="1" ht="15" customHeight="1" x14ac:dyDescent="0.2">
      <c r="F22" s="125"/>
      <c r="K22" s="125"/>
    </row>
    <row r="23" spans="6:11" customFormat="1" ht="15" customHeight="1" x14ac:dyDescent="0.2">
      <c r="F23" s="125"/>
      <c r="K23" s="125"/>
    </row>
    <row r="24" spans="6:11" customFormat="1" ht="15" customHeight="1" x14ac:dyDescent="0.2">
      <c r="F24" s="125"/>
      <c r="K24" s="125"/>
    </row>
    <row r="25" spans="6:11" customFormat="1" ht="15" customHeight="1" x14ac:dyDescent="0.2">
      <c r="F25" s="125"/>
      <c r="K25" s="125"/>
    </row>
    <row r="26" spans="6:11" customFormat="1" ht="15" customHeight="1" x14ac:dyDescent="0.2">
      <c r="F26" s="125"/>
      <c r="K26" s="125"/>
    </row>
    <row r="27" spans="6:11" customFormat="1" ht="15" customHeight="1" x14ac:dyDescent="0.2">
      <c r="F27" s="125"/>
      <c r="K27" s="125"/>
    </row>
    <row r="28" spans="6:11" customFormat="1" ht="15" customHeight="1" x14ac:dyDescent="0.2">
      <c r="F28" s="125"/>
      <c r="K28" s="125"/>
    </row>
    <row r="29" spans="6:11" customFormat="1" ht="15" customHeight="1" x14ac:dyDescent="0.2">
      <c r="F29" s="125"/>
      <c r="K29" s="125"/>
    </row>
    <row r="30" spans="6:11" customFormat="1" ht="15" customHeight="1" x14ac:dyDescent="0.2">
      <c r="F30" s="125"/>
      <c r="K30" s="125"/>
    </row>
    <row r="31" spans="6:11" customFormat="1" ht="15" customHeight="1" x14ac:dyDescent="0.2">
      <c r="F31" s="125"/>
      <c r="K31" s="125"/>
    </row>
    <row r="32" spans="6:11" customFormat="1" ht="15" customHeight="1" x14ac:dyDescent="0.2">
      <c r="F32" s="125"/>
      <c r="K32" s="125"/>
    </row>
    <row r="33" spans="6:11" customFormat="1" ht="15" customHeight="1" x14ac:dyDescent="0.2">
      <c r="F33" s="125"/>
      <c r="K33" s="125"/>
    </row>
    <row r="34" spans="6:11" customFormat="1" ht="15" customHeight="1" x14ac:dyDescent="0.2">
      <c r="F34" s="125"/>
      <c r="K34" s="125"/>
    </row>
    <row r="35" spans="6:11" customFormat="1" ht="15" customHeight="1" x14ac:dyDescent="0.2">
      <c r="F35" s="125"/>
      <c r="K35" s="125"/>
    </row>
    <row r="36" spans="6:11" customFormat="1" ht="15" customHeight="1" x14ac:dyDescent="0.2">
      <c r="F36" s="125"/>
      <c r="K36" s="125"/>
    </row>
    <row r="37" spans="6:11" customFormat="1" ht="15" customHeight="1" x14ac:dyDescent="0.2">
      <c r="F37" s="125"/>
      <c r="K37" s="125"/>
    </row>
    <row r="38" spans="6:11" customFormat="1" ht="15" customHeight="1" x14ac:dyDescent="0.2">
      <c r="F38" s="125"/>
      <c r="K38" s="125"/>
    </row>
    <row r="39" spans="6:11" customFormat="1" ht="15" customHeight="1" x14ac:dyDescent="0.2">
      <c r="F39" s="125"/>
      <c r="K39" s="125"/>
    </row>
    <row r="40" spans="6:11" customFormat="1" ht="15" customHeight="1" x14ac:dyDescent="0.2">
      <c r="F40" s="125"/>
      <c r="K40" s="125"/>
    </row>
    <row r="41" spans="6:11" customFormat="1" ht="15" customHeight="1" x14ac:dyDescent="0.2">
      <c r="F41" s="125"/>
      <c r="K41" s="125"/>
    </row>
    <row r="42" spans="6:11" customFormat="1" ht="15" customHeight="1" x14ac:dyDescent="0.2">
      <c r="F42" s="125"/>
      <c r="K42" s="125"/>
    </row>
    <row r="43" spans="6:11" customFormat="1" ht="15" customHeight="1" x14ac:dyDescent="0.2">
      <c r="F43" s="125"/>
      <c r="K43" s="125"/>
    </row>
    <row r="44" spans="6:11" customFormat="1" ht="15" customHeight="1" x14ac:dyDescent="0.2">
      <c r="F44" s="125"/>
      <c r="K44" s="125"/>
    </row>
    <row r="45" spans="6:11" customFormat="1" ht="15" customHeight="1" x14ac:dyDescent="0.2">
      <c r="F45" s="125"/>
      <c r="K45" s="125"/>
    </row>
    <row r="46" spans="6:11" customFormat="1" ht="15" customHeight="1" x14ac:dyDescent="0.2">
      <c r="F46" s="125"/>
      <c r="K46" s="125"/>
    </row>
    <row r="47" spans="6:11" customFormat="1" ht="15" customHeight="1" x14ac:dyDescent="0.2">
      <c r="F47" s="125"/>
      <c r="K47" s="125"/>
    </row>
    <row r="48" spans="6:11" customFormat="1" ht="15" customHeight="1" x14ac:dyDescent="0.2">
      <c r="F48" s="125"/>
      <c r="K48" s="125"/>
    </row>
    <row r="49" spans="6:11" customFormat="1" ht="15" customHeight="1" x14ac:dyDescent="0.2">
      <c r="F49" s="125"/>
      <c r="K49" s="125"/>
    </row>
    <row r="50" spans="6:11" customFormat="1" ht="15" customHeight="1" x14ac:dyDescent="0.2">
      <c r="F50" s="125"/>
      <c r="K50" s="125"/>
    </row>
    <row r="51" spans="6:11" customFormat="1" ht="15" customHeight="1" x14ac:dyDescent="0.2">
      <c r="F51" s="125"/>
      <c r="K51" s="125"/>
    </row>
    <row r="52" spans="6:11" customFormat="1" ht="15" customHeight="1" x14ac:dyDescent="0.2">
      <c r="F52" s="125"/>
      <c r="K52" s="125"/>
    </row>
    <row r="53" spans="6:11" customFormat="1" ht="15" customHeight="1" x14ac:dyDescent="0.2">
      <c r="F53" s="125"/>
      <c r="K53" s="125"/>
    </row>
    <row r="54" spans="6:11" customFormat="1" ht="15" customHeight="1" x14ac:dyDescent="0.2">
      <c r="F54" s="125"/>
      <c r="K54" s="125"/>
    </row>
    <row r="55" spans="6:11" customFormat="1" ht="15" customHeight="1" x14ac:dyDescent="0.2">
      <c r="F55" s="125"/>
      <c r="K55" s="125"/>
    </row>
    <row r="56" spans="6:11" customFormat="1" ht="15" customHeight="1" x14ac:dyDescent="0.2">
      <c r="F56" s="125"/>
      <c r="K56" s="125"/>
    </row>
    <row r="57" spans="6:11" customFormat="1" ht="15" customHeight="1" x14ac:dyDescent="0.2">
      <c r="F57" s="125"/>
      <c r="K57" s="125"/>
    </row>
    <row r="58" spans="6:11" customFormat="1" ht="15" customHeight="1" x14ac:dyDescent="0.2">
      <c r="F58" s="125"/>
      <c r="K58" s="125"/>
    </row>
    <row r="59" spans="6:11" customFormat="1" ht="15" customHeight="1" x14ac:dyDescent="0.2">
      <c r="F59" s="125"/>
      <c r="K59" s="125"/>
    </row>
    <row r="60" spans="6:11" customFormat="1" ht="15" customHeight="1" x14ac:dyDescent="0.2">
      <c r="F60" s="125"/>
      <c r="K60" s="125"/>
    </row>
    <row r="61" spans="6:11" customFormat="1" ht="15" customHeight="1" x14ac:dyDescent="0.2">
      <c r="F61" s="125"/>
      <c r="K61" s="125"/>
    </row>
    <row r="62" spans="6:11" customFormat="1" ht="15" customHeight="1" x14ac:dyDescent="0.2">
      <c r="F62" s="125"/>
      <c r="K62" s="125"/>
    </row>
    <row r="63" spans="6:11" customFormat="1" ht="15" customHeight="1" x14ac:dyDescent="0.2">
      <c r="F63" s="125"/>
      <c r="K63" s="125"/>
    </row>
    <row r="64" spans="6:11" customFormat="1" ht="15" customHeight="1" x14ac:dyDescent="0.2">
      <c r="F64" s="125"/>
      <c r="K64" s="125"/>
    </row>
    <row r="65" spans="6:11" customFormat="1" ht="15" customHeight="1" x14ac:dyDescent="0.2">
      <c r="F65" s="125"/>
      <c r="K65" s="125"/>
    </row>
    <row r="66" spans="6:11" customFormat="1" ht="15" customHeight="1" x14ac:dyDescent="0.2">
      <c r="F66" s="125"/>
      <c r="K66" s="125"/>
    </row>
    <row r="67" spans="6:11" customFormat="1" ht="15" customHeight="1" x14ac:dyDescent="0.2">
      <c r="F67" s="125"/>
      <c r="K67" s="125"/>
    </row>
    <row r="68" spans="6:11" customFormat="1" ht="15" customHeight="1" x14ac:dyDescent="0.2">
      <c r="F68" s="125"/>
      <c r="K68" s="125"/>
    </row>
    <row r="69" spans="6:11" customFormat="1" ht="15" customHeight="1" x14ac:dyDescent="0.2">
      <c r="F69" s="125"/>
      <c r="K69" s="125"/>
    </row>
    <row r="70" spans="6:11" customFormat="1" ht="15" customHeight="1" x14ac:dyDescent="0.2">
      <c r="F70" s="125"/>
      <c r="K70" s="125"/>
    </row>
    <row r="71" spans="6:11" customFormat="1" ht="15" customHeight="1" x14ac:dyDescent="0.2">
      <c r="F71" s="125"/>
      <c r="K71" s="125"/>
    </row>
    <row r="72" spans="6:11" customFormat="1" ht="15" customHeight="1" x14ac:dyDescent="0.2">
      <c r="F72" s="125"/>
      <c r="K72" s="125"/>
    </row>
    <row r="73" spans="6:11" customFormat="1" ht="15" customHeight="1" x14ac:dyDescent="0.2">
      <c r="F73" s="125"/>
      <c r="K73" s="125"/>
    </row>
    <row r="74" spans="6:11" customFormat="1" ht="15" customHeight="1" x14ac:dyDescent="0.2">
      <c r="F74" s="125"/>
      <c r="K74" s="125"/>
    </row>
    <row r="75" spans="6:11" customFormat="1" ht="15" customHeight="1" x14ac:dyDescent="0.2">
      <c r="F75" s="125"/>
      <c r="K75" s="125"/>
    </row>
    <row r="76" spans="6:11" customFormat="1" ht="15" customHeight="1" x14ac:dyDescent="0.2">
      <c r="F76" s="125"/>
      <c r="K76" s="125"/>
    </row>
    <row r="77" spans="6:11" customFormat="1" ht="15" customHeight="1" x14ac:dyDescent="0.2">
      <c r="F77" s="125"/>
      <c r="K77" s="125"/>
    </row>
    <row r="78" spans="6:11" customFormat="1" ht="15" customHeight="1" x14ac:dyDescent="0.2">
      <c r="F78" s="125"/>
      <c r="K78" s="125"/>
    </row>
    <row r="79" spans="6:11" customFormat="1" ht="15" customHeight="1" x14ac:dyDescent="0.2">
      <c r="F79" s="125"/>
      <c r="K79" s="125"/>
    </row>
    <row r="80" spans="6:11" customFormat="1" ht="15" customHeight="1" x14ac:dyDescent="0.2">
      <c r="F80" s="125"/>
      <c r="K80" s="125"/>
    </row>
    <row r="81" spans="2:14" customFormat="1" ht="15" customHeight="1" x14ac:dyDescent="0.2">
      <c r="F81" s="125"/>
      <c r="K81" s="125"/>
    </row>
    <row r="82" spans="2:14" customFormat="1" ht="15" customHeight="1" x14ac:dyDescent="0.2">
      <c r="F82" s="125"/>
      <c r="K82" s="125"/>
    </row>
    <row r="83" spans="2:14" customFormat="1" ht="15" customHeight="1" x14ac:dyDescent="0.2">
      <c r="F83" s="125"/>
      <c r="K83" s="125"/>
    </row>
    <row r="84" spans="2:14" customFormat="1" ht="15" customHeight="1" x14ac:dyDescent="0.2">
      <c r="F84" s="125"/>
      <c r="K84" s="125"/>
    </row>
    <row r="85" spans="2:14" customFormat="1" ht="15" customHeight="1" x14ac:dyDescent="0.2">
      <c r="F85" s="125"/>
      <c r="K85" s="125"/>
    </row>
    <row r="86" spans="2:14" customFormat="1" ht="15" customHeight="1" x14ac:dyDescent="0.2">
      <c r="F86" s="125"/>
      <c r="K86" s="125"/>
    </row>
    <row r="87" spans="2:14" customFormat="1" ht="15" customHeight="1" x14ac:dyDescent="0.2">
      <c r="F87" s="125"/>
      <c r="K87" s="125"/>
    </row>
    <row r="88" spans="2:14" customFormat="1" ht="15" customHeight="1" x14ac:dyDescent="0.2">
      <c r="F88" s="125"/>
      <c r="K88" s="125"/>
    </row>
    <row r="89" spans="2:14" customFormat="1" ht="15" customHeight="1" x14ac:dyDescent="0.2">
      <c r="F89" s="125"/>
      <c r="K89" s="125"/>
    </row>
    <row r="90" spans="2:14" customFormat="1" ht="15" customHeight="1" x14ac:dyDescent="0.2">
      <c r="F90" s="125"/>
      <c r="K90" s="125"/>
    </row>
    <row r="91" spans="2:14" customFormat="1" ht="15" customHeight="1" x14ac:dyDescent="0.2">
      <c r="F91" s="125"/>
      <c r="K91" s="125"/>
    </row>
    <row r="92" spans="2:14" customFormat="1" ht="15" customHeight="1" x14ac:dyDescent="0.2">
      <c r="F92" s="125"/>
      <c r="K92" s="125"/>
    </row>
    <row r="93" spans="2:14" customFormat="1" ht="15" customHeight="1" x14ac:dyDescent="0.25">
      <c r="B93" s="56"/>
      <c r="C93" s="98" t="s">
        <v>7</v>
      </c>
      <c r="D93" s="98" t="s">
        <v>8</v>
      </c>
      <c r="E93" s="56"/>
      <c r="F93" s="141"/>
      <c r="G93" s="56"/>
      <c r="H93" s="98" t="s">
        <v>7</v>
      </c>
      <c r="I93" s="98" t="s">
        <v>8</v>
      </c>
      <c r="J93" s="99"/>
      <c r="K93" s="141"/>
      <c r="L93" s="56"/>
      <c r="M93" s="98" t="s">
        <v>7</v>
      </c>
      <c r="N93" s="98" t="s">
        <v>8</v>
      </c>
    </row>
    <row r="94" spans="2:14" customFormat="1" ht="15" customHeight="1" x14ac:dyDescent="0.25">
      <c r="B94" s="116" t="s">
        <v>4</v>
      </c>
      <c r="C94" s="139">
        <f>'7.Change LOS'!D4</f>
        <v>47.096774193548384</v>
      </c>
      <c r="D94" s="140">
        <f>IF('7.Change LOS'!E4="",'10.Summary of Changes'!C94,'7.Change LOS'!E4)</f>
        <v>47.096774193548384</v>
      </c>
      <c r="E94" s="65"/>
      <c r="F94" s="141"/>
      <c r="G94" s="116" t="s">
        <v>4</v>
      </c>
      <c r="H94" s="139">
        <f>'7.Change LOS'!J4</f>
        <v>76.395348837209298</v>
      </c>
      <c r="I94" s="140">
        <f>IF('7.Change LOS'!K4="",'10.Summary of Changes'!H94,'7.Change LOS'!K4)</f>
        <v>76.395348837209298</v>
      </c>
      <c r="J94" s="99"/>
      <c r="K94" s="141"/>
      <c r="L94" s="116" t="s">
        <v>4</v>
      </c>
      <c r="M94" s="139">
        <f>'7.Change LOS'!O4</f>
        <v>53.459595959595958</v>
      </c>
      <c r="N94" s="140">
        <f>IF('7.Change LOS'!P4="",'10.Summary of Changes'!M94,'7.Change LOS'!P4)</f>
        <v>53.459595959595958</v>
      </c>
    </row>
    <row r="95" spans="2:14" customFormat="1" ht="15" customHeight="1" x14ac:dyDescent="0.25">
      <c r="B95" s="116" t="s">
        <v>3</v>
      </c>
      <c r="C95" s="139">
        <f>'7.Change LOS'!D5</f>
        <v>264.04255319148939</v>
      </c>
      <c r="D95" s="140">
        <f>IF('7.Change LOS'!E5="",'10.Summary of Changes'!C95,'7.Change LOS'!E5)</f>
        <v>264.04255319148939</v>
      </c>
      <c r="E95" s="65"/>
      <c r="F95" s="141"/>
      <c r="G95" s="116" t="s">
        <v>3</v>
      </c>
      <c r="H95" s="139">
        <f>'7.Change LOS'!J5</f>
        <v>307.36842105263156</v>
      </c>
      <c r="I95" s="140">
        <f>IF('7.Change LOS'!K5="",'10.Summary of Changes'!H95,'7.Change LOS'!K5)</f>
        <v>307.36842105263156</v>
      </c>
      <c r="J95" s="99"/>
      <c r="K95" s="141"/>
      <c r="L95" s="116" t="s">
        <v>3</v>
      </c>
      <c r="M95" s="139">
        <f>'7.Change LOS'!O5</f>
        <v>287.78846153846155</v>
      </c>
      <c r="N95" s="140">
        <f>IF('7.Change LOS'!P5="",'10.Summary of Changes'!M95,'7.Change LOS'!P5)</f>
        <v>287.78846153846155</v>
      </c>
    </row>
    <row r="96" spans="2:14" customFormat="1" ht="15" customHeight="1" x14ac:dyDescent="0.25">
      <c r="B96" s="116" t="s">
        <v>1</v>
      </c>
      <c r="C96" s="139">
        <f>'7.Change LOS'!D6</f>
        <v>121.66666666666667</v>
      </c>
      <c r="D96" s="140">
        <f>IF('7.Change LOS'!E6="",'10.Summary of Changes'!C96,'7.Change LOS'!E6)</f>
        <v>121.66666666666667</v>
      </c>
      <c r="E96" s="65"/>
      <c r="F96" s="141"/>
      <c r="G96" s="116" t="s">
        <v>1</v>
      </c>
      <c r="H96" s="139">
        <f>'7.Change LOS'!J6</f>
        <v>99.545454545454547</v>
      </c>
      <c r="I96" s="140">
        <f>IF('7.Change LOS'!K6="",'10.Summary of Changes'!H96,'7.Change LOS'!K6)</f>
        <v>99.545454545454547</v>
      </c>
      <c r="J96" s="99"/>
      <c r="K96" s="141"/>
      <c r="L96" s="116" t="s">
        <v>1</v>
      </c>
      <c r="M96" s="139">
        <f>'7.Change LOS'!O6</f>
        <v>107.35294117647059</v>
      </c>
      <c r="N96" s="140">
        <f>IF('7.Change LOS'!P6="",'10.Summary of Changes'!M96,'7.Change LOS'!P6)</f>
        <v>107.35294117647059</v>
      </c>
    </row>
    <row r="97" spans="1:256" customFormat="1" ht="4.5" customHeight="1" x14ac:dyDescent="0.25">
      <c r="B97" s="59"/>
      <c r="C97" s="59"/>
      <c r="D97" s="59"/>
      <c r="E97" s="59"/>
      <c r="F97" s="141"/>
      <c r="G97" s="59"/>
      <c r="H97" s="59"/>
      <c r="I97" s="59"/>
      <c r="J97" s="59"/>
      <c r="K97" s="141"/>
      <c r="L97" s="59"/>
      <c r="M97" s="134"/>
      <c r="N97" s="137"/>
    </row>
    <row r="98" spans="1:256" s="138" customFormat="1" ht="30" x14ac:dyDescent="0.25">
      <c r="A98" s="92"/>
      <c r="B98" s="92"/>
      <c r="C98" s="98" t="s">
        <v>21</v>
      </c>
      <c r="D98" s="93" t="s">
        <v>11</v>
      </c>
      <c r="E98" s="93" t="s">
        <v>22</v>
      </c>
      <c r="F98" s="141"/>
      <c r="G98" s="92"/>
      <c r="H98" s="98" t="s">
        <v>21</v>
      </c>
      <c r="I98" s="93" t="s">
        <v>11</v>
      </c>
      <c r="J98" s="93" t="s">
        <v>22</v>
      </c>
      <c r="K98" s="141"/>
      <c r="L98" s="92"/>
      <c r="M98" s="98" t="s">
        <v>21</v>
      </c>
      <c r="N98" s="93" t="s">
        <v>11</v>
      </c>
      <c r="O98" s="93" t="s">
        <v>22</v>
      </c>
      <c r="P98" s="133"/>
      <c r="Q98" s="135"/>
      <c r="R98" s="135"/>
      <c r="S98" s="135"/>
      <c r="T98" s="135"/>
      <c r="U98" s="135"/>
      <c r="V98" s="135"/>
      <c r="W98" s="135"/>
      <c r="X98" s="135"/>
      <c r="Y98" s="135"/>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136"/>
      <c r="HJ98" s="136"/>
      <c r="HK98" s="136"/>
      <c r="HL98" s="136"/>
      <c r="HM98" s="136"/>
      <c r="HN98" s="136"/>
      <c r="HO98" s="136"/>
      <c r="HP98" s="136"/>
      <c r="HQ98" s="136"/>
      <c r="HR98" s="136"/>
      <c r="HS98" s="136"/>
      <c r="HT98" s="136"/>
      <c r="HU98" s="136"/>
      <c r="HV98" s="136"/>
      <c r="HW98" s="136"/>
      <c r="HX98" s="136"/>
      <c r="HY98" s="136"/>
      <c r="HZ98" s="136"/>
      <c r="IA98" s="136"/>
      <c r="IB98" s="136"/>
      <c r="IC98" s="136"/>
      <c r="ID98" s="136"/>
      <c r="IE98" s="136"/>
      <c r="IF98" s="136"/>
      <c r="IG98" s="136"/>
      <c r="IH98" s="136"/>
      <c r="II98" s="136"/>
      <c r="IJ98" s="136"/>
      <c r="IK98" s="136"/>
      <c r="IL98" s="136"/>
      <c r="IM98" s="136"/>
      <c r="IN98" s="136"/>
      <c r="IO98" s="136"/>
      <c r="IP98" s="136"/>
      <c r="IQ98" s="136"/>
      <c r="IR98" s="136"/>
      <c r="IS98" s="136"/>
      <c r="IT98" s="136"/>
      <c r="IU98" s="136"/>
      <c r="IV98" s="136"/>
    </row>
    <row r="99" spans="1:256" ht="15.95" customHeight="1" x14ac:dyDescent="0.25">
      <c r="A99" s="56"/>
      <c r="B99" s="87" t="s">
        <v>4</v>
      </c>
      <c r="C99" s="89">
        <f>'8.Change Investments'!D4</f>
        <v>2000000</v>
      </c>
      <c r="D99" s="90">
        <f>IF('8.Change Investments'!E4="",0,'8.Change Investments'!E4)</f>
        <v>0</v>
      </c>
      <c r="E99" s="89">
        <f>C99+D99</f>
        <v>2000000</v>
      </c>
      <c r="F99" s="141"/>
      <c r="G99" s="87" t="s">
        <v>4</v>
      </c>
      <c r="H99" s="89">
        <f>'8.Change Investments'!J4</f>
        <v>1200000</v>
      </c>
      <c r="I99" s="90">
        <f>IF('8.Change Investments'!K4="",0,'8.Change Investments'!K4)</f>
        <v>0</v>
      </c>
      <c r="J99" s="89">
        <f>H99+I99</f>
        <v>1200000</v>
      </c>
      <c r="K99" s="141"/>
      <c r="L99" s="87" t="s">
        <v>4</v>
      </c>
      <c r="M99" s="89">
        <f t="shared" ref="M99:N102" si="0">C99+H99</f>
        <v>3200000</v>
      </c>
      <c r="N99" s="90">
        <f t="shared" si="0"/>
        <v>0</v>
      </c>
      <c r="O99" s="89">
        <f>M99+N99</f>
        <v>3200000</v>
      </c>
    </row>
    <row r="100" spans="1:256" ht="15" customHeight="1" x14ac:dyDescent="0.25">
      <c r="B100" s="87" t="s">
        <v>3</v>
      </c>
      <c r="C100" s="89">
        <f>'8.Change Investments'!D5</f>
        <v>1800000</v>
      </c>
      <c r="D100" s="90">
        <f>IF('8.Change Investments'!E5="",0,'8.Change Investments'!E5)</f>
        <v>0</v>
      </c>
      <c r="E100" s="89">
        <f t="shared" ref="E100:E102" si="1">C100+D100</f>
        <v>1800000</v>
      </c>
      <c r="F100" s="141"/>
      <c r="G100" s="87" t="s">
        <v>3</v>
      </c>
      <c r="H100" s="89">
        <f>'8.Change Investments'!J5</f>
        <v>3000000</v>
      </c>
      <c r="I100" s="90">
        <f>IF('8.Change Investments'!K5="",0,'8.Change Investments'!K5)</f>
        <v>0</v>
      </c>
      <c r="J100" s="89">
        <f t="shared" ref="J100:J102" si="2">H100+I100</f>
        <v>3000000</v>
      </c>
      <c r="K100" s="141"/>
      <c r="L100" s="87" t="s">
        <v>3</v>
      </c>
      <c r="M100" s="89">
        <f t="shared" si="0"/>
        <v>4800000</v>
      </c>
      <c r="N100" s="90">
        <f t="shared" si="0"/>
        <v>0</v>
      </c>
      <c r="O100" s="89">
        <f t="shared" ref="O100:O102" si="3">M100+N100</f>
        <v>4800000</v>
      </c>
    </row>
    <row r="101" spans="1:256" ht="15" customHeight="1" x14ac:dyDescent="0.25">
      <c r="B101" s="87" t="s">
        <v>1</v>
      </c>
      <c r="C101" s="89">
        <f>'8.Change Investments'!D6</f>
        <v>645000</v>
      </c>
      <c r="D101" s="90">
        <f>IF('8.Change Investments'!E6="",0,'8.Change Investments'!E6)</f>
        <v>0</v>
      </c>
      <c r="E101" s="89">
        <f t="shared" si="1"/>
        <v>645000</v>
      </c>
      <c r="F101" s="141"/>
      <c r="G101" s="87" t="s">
        <v>1</v>
      </c>
      <c r="H101" s="89">
        <f>'8.Change Investments'!J6</f>
        <v>850000</v>
      </c>
      <c r="I101" s="90">
        <f>IF('8.Change Investments'!K6="",0,'8.Change Investments'!K6)</f>
        <v>0</v>
      </c>
      <c r="J101" s="89">
        <f t="shared" si="2"/>
        <v>850000</v>
      </c>
      <c r="K101" s="141"/>
      <c r="L101" s="87" t="s">
        <v>1</v>
      </c>
      <c r="M101" s="89">
        <f t="shared" si="0"/>
        <v>1495000</v>
      </c>
      <c r="N101" s="90">
        <f t="shared" si="0"/>
        <v>0</v>
      </c>
      <c r="O101" s="89">
        <f t="shared" si="3"/>
        <v>1495000</v>
      </c>
    </row>
    <row r="102" spans="1:256" ht="15" customHeight="1" x14ac:dyDescent="0.25">
      <c r="B102" s="88" t="s">
        <v>58</v>
      </c>
      <c r="C102" s="89">
        <f>'8.Change Investments'!D7</f>
        <v>2500000</v>
      </c>
      <c r="D102" s="90">
        <f>IF('8.Change Investments'!E7="",0,'8.Change Investments'!E7)</f>
        <v>0</v>
      </c>
      <c r="E102" s="89">
        <f t="shared" si="1"/>
        <v>2500000</v>
      </c>
      <c r="F102" s="141"/>
      <c r="G102" s="88" t="s">
        <v>58</v>
      </c>
      <c r="H102" s="89">
        <f>'8.Change Investments'!J7</f>
        <v>1500000</v>
      </c>
      <c r="I102" s="90">
        <f>IF('8.Change Investments'!K7="",0,'8.Change Investments'!K7)</f>
        <v>0</v>
      </c>
      <c r="J102" s="89">
        <f t="shared" si="2"/>
        <v>1500000</v>
      </c>
      <c r="K102" s="141"/>
      <c r="L102" s="88" t="s">
        <v>58</v>
      </c>
      <c r="M102" s="89">
        <f t="shared" si="0"/>
        <v>4000000</v>
      </c>
      <c r="N102" s="90">
        <f t="shared" si="0"/>
        <v>0</v>
      </c>
      <c r="O102" s="89">
        <f t="shared" si="3"/>
        <v>4000000</v>
      </c>
    </row>
    <row r="103" spans="1:256" ht="15" customHeight="1" x14ac:dyDescent="0.25">
      <c r="B103" s="79" t="s">
        <v>23</v>
      </c>
      <c r="C103" s="80">
        <f>SUM(C99:C102)</f>
        <v>6945000</v>
      </c>
      <c r="D103" s="80">
        <f>SUM(D99:D102)</f>
        <v>0</v>
      </c>
      <c r="E103" s="80">
        <f>SUM(E99:E102)</f>
        <v>6945000</v>
      </c>
      <c r="F103" s="141"/>
      <c r="G103" s="79" t="s">
        <v>23</v>
      </c>
      <c r="H103" s="80">
        <f>SUM(H99:H102)</f>
        <v>6550000</v>
      </c>
      <c r="I103" s="80">
        <f>SUM(I99:I102)</f>
        <v>0</v>
      </c>
      <c r="J103" s="80">
        <f>SUM(J99:J102)</f>
        <v>6550000</v>
      </c>
      <c r="K103" s="141"/>
      <c r="L103" s="79" t="s">
        <v>23</v>
      </c>
      <c r="M103" s="80">
        <f>SUM(M99:M102)</f>
        <v>13495000</v>
      </c>
      <c r="N103" s="80">
        <f>SUM(N99:N102)</f>
        <v>0</v>
      </c>
      <c r="O103" s="80">
        <f>SUM(O99:O102)</f>
        <v>13495000</v>
      </c>
    </row>
    <row r="104" spans="1:256" ht="5.0999999999999996" customHeight="1" x14ac:dyDescent="0.25">
      <c r="F104" s="141"/>
      <c r="K104" s="141"/>
      <c r="M104" s="59"/>
      <c r="N104" s="59"/>
      <c r="O104" s="134"/>
    </row>
    <row r="105" spans="1:256" ht="30" x14ac:dyDescent="0.25">
      <c r="B105" s="56"/>
      <c r="C105" s="98" t="s">
        <v>59</v>
      </c>
      <c r="D105" s="98" t="s">
        <v>60</v>
      </c>
      <c r="E105"/>
      <c r="F105" s="141"/>
      <c r="G105" s="56"/>
      <c r="H105" s="98" t="s">
        <v>59</v>
      </c>
      <c r="I105" s="98" t="s">
        <v>60</v>
      </c>
      <c r="J105"/>
      <c r="K105" s="141"/>
      <c r="L105" s="133"/>
      <c r="M105" s="98" t="s">
        <v>59</v>
      </c>
      <c r="N105" s="98" t="s">
        <v>60</v>
      </c>
      <c r="O105" s="134"/>
    </row>
    <row r="106" spans="1:256" ht="15" customHeight="1" x14ac:dyDescent="0.25">
      <c r="B106" s="116" t="s">
        <v>4</v>
      </c>
      <c r="C106" s="96">
        <f>'6.Change PH Exits'!D4</f>
        <v>0.17096774193548386</v>
      </c>
      <c r="D106" s="97">
        <f>IF('6.Change PH Exits'!E4="",C106,'6.Change PH Exits'!E4)</f>
        <v>0.17096774193548386</v>
      </c>
      <c r="E106"/>
      <c r="F106" s="141"/>
      <c r="G106" s="116" t="s">
        <v>4</v>
      </c>
      <c r="H106" s="96">
        <f>'6.Change PH Exits'!J4</f>
        <v>0.31860465116279069</v>
      </c>
      <c r="I106" s="97">
        <f>IF('6.Change PH Exits'!K4="",H106,'6.Change PH Exits'!K4)</f>
        <v>0.31860465116279069</v>
      </c>
      <c r="J106"/>
      <c r="K106" s="141"/>
      <c r="L106" s="116" t="s">
        <v>4</v>
      </c>
      <c r="M106" s="96">
        <f>'6.Change PH Exits'!O4</f>
        <v>0.2</v>
      </c>
      <c r="N106" s="97">
        <f>IF('6.Change PH Exits'!P4="",'10.Summary of Changes'!M106,'6.Change PH Exits'!P4)</f>
        <v>0.20303030303030303</v>
      </c>
      <c r="O106" s="134"/>
    </row>
    <row r="107" spans="1:256" ht="15" customHeight="1" x14ac:dyDescent="0.25">
      <c r="B107" s="116" t="s">
        <v>3</v>
      </c>
      <c r="C107" s="96">
        <f>'6.Change PH Exits'!D5</f>
        <v>0.41702127659574467</v>
      </c>
      <c r="D107" s="97">
        <f>IF('6.Change PH Exits'!E5="",C107,'6.Change PH Exits'!E5)</f>
        <v>0.41702127659574467</v>
      </c>
      <c r="E107"/>
      <c r="F107" s="141"/>
      <c r="G107" s="116" t="s">
        <v>3</v>
      </c>
      <c r="H107" s="96">
        <f>'6.Change PH Exits'!J5</f>
        <v>0.55438596491228065</v>
      </c>
      <c r="I107" s="97">
        <f>IF('6.Change PH Exits'!K5="",H107,'6.Change PH Exits'!K5)</f>
        <v>0.55438596491228065</v>
      </c>
      <c r="J107"/>
      <c r="K107" s="141"/>
      <c r="L107" s="116" t="s">
        <v>3</v>
      </c>
      <c r="M107" s="96">
        <f>'6.Change PH Exits'!O5</f>
        <v>0.49</v>
      </c>
      <c r="N107" s="97">
        <f>IF('6.Change PH Exits'!P5="",'10.Summary of Changes'!M107,'6.Change PH Exits'!P5)</f>
        <v>0.49230769230769228</v>
      </c>
      <c r="O107" s="134"/>
    </row>
    <row r="108" spans="1:256" ht="15" customHeight="1" x14ac:dyDescent="0.25">
      <c r="B108" s="116" t="s">
        <v>1</v>
      </c>
      <c r="C108" s="96">
        <f>'6.Change PH Exits'!D6</f>
        <v>0.7466666666666667</v>
      </c>
      <c r="D108" s="97">
        <f>IF('6.Change PH Exits'!E6="",C108,'6.Change PH Exits'!E6)</f>
        <v>0.7466666666666667</v>
      </c>
      <c r="E108"/>
      <c r="F108" s="141"/>
      <c r="G108" s="116" t="s">
        <v>1</v>
      </c>
      <c r="H108" s="96">
        <f>'6.Change PH Exits'!J6</f>
        <v>0.8545454545454545</v>
      </c>
      <c r="I108" s="97">
        <f>IF('6.Change PH Exits'!K6="",H108,'6.Change PH Exits'!K6)</f>
        <v>0.8545454545454545</v>
      </c>
      <c r="J108"/>
      <c r="K108" s="141"/>
      <c r="L108" s="116" t="s">
        <v>1</v>
      </c>
      <c r="M108" s="96">
        <f>'6.Change PH Exits'!O6</f>
        <v>0.81</v>
      </c>
      <c r="N108" s="97">
        <f>IF('6.Change PH Exits'!P6="",'10.Summary of Changes'!M108,'6.Change PH Exits'!P6)</f>
        <v>0.81647058823529417</v>
      </c>
      <c r="O108" s="134"/>
    </row>
    <row r="109" spans="1:256" ht="4.5" customHeight="1" x14ac:dyDescent="0.25">
      <c r="F109" s="141"/>
      <c r="K109" s="141"/>
    </row>
    <row r="110" spans="1:256" ht="33.75" customHeight="1" x14ac:dyDescent="0.25">
      <c r="B110" s="56"/>
      <c r="C110" s="98" t="s">
        <v>61</v>
      </c>
      <c r="D110" s="98" t="s">
        <v>62</v>
      </c>
      <c r="F110" s="141"/>
      <c r="G110" s="56"/>
      <c r="H110" s="98" t="s">
        <v>61</v>
      </c>
      <c r="I110" s="98" t="s">
        <v>62</v>
      </c>
      <c r="K110" s="141"/>
      <c r="L110" s="56"/>
      <c r="M110" s="98" t="s">
        <v>61</v>
      </c>
      <c r="N110" s="98" t="s">
        <v>62</v>
      </c>
    </row>
    <row r="111" spans="1:256" ht="15" customHeight="1" x14ac:dyDescent="0.25">
      <c r="B111" s="116" t="s">
        <v>4</v>
      </c>
      <c r="C111" s="96">
        <f>'9.Change Returns to Hmls'!D4</f>
        <v>0.14716981132075471</v>
      </c>
      <c r="D111" s="97">
        <f>IF('9.Change Returns to Hmls'!E4="",'10.Summary of Changes'!C111,'9.Change Returns to Hmls'!E4)</f>
        <v>0.14716981132075471</v>
      </c>
      <c r="F111" s="141"/>
      <c r="G111" s="116" t="s">
        <v>4</v>
      </c>
      <c r="H111" s="96">
        <f>'9.Change Returns to Hmls'!J4</f>
        <v>0.10948905109489052</v>
      </c>
      <c r="I111" s="97">
        <f>IF('9.Change Returns to Hmls'!K4="",'10.Summary of Changes'!H111,'9.Change Returns to Hmls'!K4)</f>
        <v>0.10948905109489052</v>
      </c>
      <c r="K111" s="141"/>
      <c r="L111" s="116" t="s">
        <v>4</v>
      </c>
      <c r="M111" s="96">
        <f>'9.Change Returns to Hmls'!O4</f>
        <v>0.13432835820895522</v>
      </c>
      <c r="N111" s="97">
        <f>IF('9.Change Returns to Hmls'!P4="",'10.Summary of Changes'!M111,'9.Change Returns to Hmls'!P4)</f>
        <v>0.13432835820895522</v>
      </c>
    </row>
    <row r="112" spans="1:256" ht="15" customHeight="1" x14ac:dyDescent="0.25">
      <c r="B112" s="116" t="s">
        <v>3</v>
      </c>
      <c r="C112" s="96">
        <f>'9.Change Returns to Hmls'!D5</f>
        <v>7.1428571428571425E-2</v>
      </c>
      <c r="D112" s="97">
        <f>IF('9.Change Returns to Hmls'!E5="",'10.Summary of Changes'!C112,'9.Change Returns to Hmls'!E5)</f>
        <v>7.1428571428571425E-2</v>
      </c>
      <c r="F112" s="141"/>
      <c r="G112" s="116" t="s">
        <v>3</v>
      </c>
      <c r="H112" s="96">
        <f>'9.Change Returns to Hmls'!J5</f>
        <v>8.8607594936708861E-2</v>
      </c>
      <c r="I112" s="97">
        <f>IF('9.Change Returns to Hmls'!K5="",'10.Summary of Changes'!H112,'9.Change Returns to Hmls'!K5)</f>
        <v>8.8607594936708861E-2</v>
      </c>
      <c r="K112" s="141"/>
      <c r="L112" s="116" t="s">
        <v>3</v>
      </c>
      <c r="M112" s="96">
        <f>'9.Change Returns to Hmls'!O5</f>
        <v>8.203125E-2</v>
      </c>
      <c r="N112" s="97">
        <f>IF('9.Change Returns to Hmls'!P5="",'10.Summary of Changes'!M112,'9.Change Returns to Hmls'!P5)</f>
        <v>8.203125E-2</v>
      </c>
    </row>
    <row r="113" spans="2:14" ht="15" customHeight="1" x14ac:dyDescent="0.25">
      <c r="B113" s="116" t="s">
        <v>1</v>
      </c>
      <c r="C113" s="96">
        <f>'9.Change Returns to Hmls'!D6</f>
        <v>8.9285714285714288E-2</v>
      </c>
      <c r="D113" s="97">
        <f>IF('9.Change Returns to Hmls'!E6="",'10.Summary of Changes'!C113,'9.Change Returns to Hmls'!E6)</f>
        <v>8.9285714285714288E-2</v>
      </c>
      <c r="F113" s="141"/>
      <c r="G113" s="116" t="s">
        <v>1</v>
      </c>
      <c r="H113" s="96">
        <f>'9.Change Returns to Hmls'!J6</f>
        <v>3.8297872340425532E-2</v>
      </c>
      <c r="I113" s="97">
        <f>IF('9.Change Returns to Hmls'!K6="",'10.Summary of Changes'!H113,'9.Change Returns to Hmls'!K6)</f>
        <v>3.8297872340425532E-2</v>
      </c>
      <c r="K113" s="141"/>
      <c r="L113" s="116" t="s">
        <v>1</v>
      </c>
      <c r="M113" s="96">
        <f>'9.Change Returns to Hmls'!O6</f>
        <v>5.4755043227665709E-2</v>
      </c>
      <c r="N113" s="97">
        <f>IF('9.Change Returns to Hmls'!P6="",'10.Summary of Changes'!M113,'9.Change Returns to Hmls'!P6)</f>
        <v>5.4755043227665709E-2</v>
      </c>
    </row>
    <row r="114" spans="2:14" ht="15" customHeight="1" x14ac:dyDescent="0.25">
      <c r="F114" s="141"/>
      <c r="K114" s="141"/>
    </row>
  </sheetData>
  <sheetProtection password="C66B" sheet="1" objects="1" scenarios="1" selectLockedCells="1"/>
  <mergeCells count="6">
    <mergeCell ref="B2:E2"/>
    <mergeCell ref="G2:J2"/>
    <mergeCell ref="L2:O2"/>
    <mergeCell ref="L1:O1"/>
    <mergeCell ref="G1:J1"/>
    <mergeCell ref="B1:E1"/>
  </mergeCells>
  <printOptions horizontalCentered="1"/>
  <pageMargins left="0.5" right="0.5" top="1" bottom="0.5" header="0" footer="0"/>
  <pageSetup scale="90" orientation="portrait" verticalDpi="2048" r:id="rId1"/>
  <headerFooter alignWithMargins="0">
    <oddHeader>&amp;L&amp;G&amp;C&amp;"Calibri,Bold"Performance Outcome Calculator:
SUMMARY&amp;R&amp;G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7" manualBreakCount="7">
    <brk id="33" max="4" man="1"/>
    <brk id="33" min="6" max="9" man="1"/>
    <brk id="33" min="11" max="14" man="1"/>
    <brk id="63" min="6" max="9" man="1"/>
    <brk id="63" max="4" man="1"/>
    <brk id="63" min="11" max="14" man="1"/>
    <brk id="92" max="16383" man="1"/>
  </rowBreaks>
  <colBreaks count="2" manualBreakCount="2">
    <brk id="6" max="1048575" man="1"/>
    <brk id="11"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7" r:id="rId5" name="Label 1">
              <controlPr defaultSize="0" autoFill="0" autoLine="0" autoPict="0">
                <anchor moveWithCells="1" sizeWithCells="1">
                  <from>
                    <xdr:col>3</xdr:col>
                    <xdr:colOff>904875</xdr:colOff>
                    <xdr:row>3</xdr:row>
                    <xdr:rowOff>85725</xdr:rowOff>
                  </from>
                  <to>
                    <xdr:col>4</xdr:col>
                    <xdr:colOff>1038225</xdr:colOff>
                    <xdr:row>5</xdr:row>
                    <xdr:rowOff>0</xdr:rowOff>
                  </to>
                </anchor>
              </controlPr>
            </control>
          </mc:Choice>
        </mc:AlternateContent>
        <mc:AlternateContent xmlns:mc="http://schemas.openxmlformats.org/markup-compatibility/2006">
          <mc:Choice Requires="x14">
            <control shapeId="19458" r:id="rId6" name="Label 2">
              <controlPr defaultSize="0" autoFill="0" autoLine="0" autoPict="0">
                <anchor moveWithCells="1" sizeWithCells="1">
                  <from>
                    <xdr:col>3</xdr:col>
                    <xdr:colOff>847725</xdr:colOff>
                    <xdr:row>19</xdr:row>
                    <xdr:rowOff>0</xdr:rowOff>
                  </from>
                  <to>
                    <xdr:col>4</xdr:col>
                    <xdr:colOff>1028700</xdr:colOff>
                    <xdr:row>20</xdr:row>
                    <xdr:rowOff>57150</xdr:rowOff>
                  </to>
                </anchor>
              </controlPr>
            </control>
          </mc:Choice>
        </mc:AlternateContent>
        <mc:AlternateContent xmlns:mc="http://schemas.openxmlformats.org/markup-compatibility/2006">
          <mc:Choice Requires="x14">
            <control shapeId="19459" r:id="rId7" name="Label 3">
              <controlPr defaultSize="0" autoFill="0" autoLine="0" autoPict="0">
                <anchor moveWithCells="1" sizeWithCells="1">
                  <from>
                    <xdr:col>8</xdr:col>
                    <xdr:colOff>838200</xdr:colOff>
                    <xdr:row>3</xdr:row>
                    <xdr:rowOff>76200</xdr:rowOff>
                  </from>
                  <to>
                    <xdr:col>9</xdr:col>
                    <xdr:colOff>1009650</xdr:colOff>
                    <xdr:row>4</xdr:row>
                    <xdr:rowOff>161925</xdr:rowOff>
                  </to>
                </anchor>
              </controlPr>
            </control>
          </mc:Choice>
        </mc:AlternateContent>
        <mc:AlternateContent xmlns:mc="http://schemas.openxmlformats.org/markup-compatibility/2006">
          <mc:Choice Requires="x14">
            <control shapeId="19460" r:id="rId8" name="Label 4">
              <controlPr defaultSize="0" autoFill="0" autoLine="0" autoPict="0">
                <anchor moveWithCells="1" sizeWithCells="1">
                  <from>
                    <xdr:col>8</xdr:col>
                    <xdr:colOff>914400</xdr:colOff>
                    <xdr:row>18</xdr:row>
                    <xdr:rowOff>142875</xdr:rowOff>
                  </from>
                  <to>
                    <xdr:col>9</xdr:col>
                    <xdr:colOff>1038225</xdr:colOff>
                    <xdr:row>20</xdr:row>
                    <xdr:rowOff>19050</xdr:rowOff>
                  </to>
                </anchor>
              </controlPr>
            </control>
          </mc:Choice>
        </mc:AlternateContent>
        <mc:AlternateContent xmlns:mc="http://schemas.openxmlformats.org/markup-compatibility/2006">
          <mc:Choice Requires="x14">
            <control shapeId="19461" r:id="rId9" name="Label 5">
              <controlPr defaultSize="0" autoFill="0" autoLine="0" autoPict="0">
                <anchor moveWithCells="1" sizeWithCells="1">
                  <from>
                    <xdr:col>13</xdr:col>
                    <xdr:colOff>838200</xdr:colOff>
                    <xdr:row>3</xdr:row>
                    <xdr:rowOff>152400</xdr:rowOff>
                  </from>
                  <to>
                    <xdr:col>14</xdr:col>
                    <xdr:colOff>962025</xdr:colOff>
                    <xdr:row>5</xdr:row>
                    <xdr:rowOff>57150</xdr:rowOff>
                  </to>
                </anchor>
              </controlPr>
            </control>
          </mc:Choice>
        </mc:AlternateContent>
        <mc:AlternateContent xmlns:mc="http://schemas.openxmlformats.org/markup-compatibility/2006">
          <mc:Choice Requires="x14">
            <control shapeId="19462" r:id="rId10" name="Label 6">
              <controlPr defaultSize="0" autoFill="0" autoLine="0" autoPict="0">
                <anchor moveWithCells="1" sizeWithCells="1">
                  <from>
                    <xdr:col>13</xdr:col>
                    <xdr:colOff>962025</xdr:colOff>
                    <xdr:row>19</xdr:row>
                    <xdr:rowOff>28575</xdr:rowOff>
                  </from>
                  <to>
                    <xdr:col>14</xdr:col>
                    <xdr:colOff>981075</xdr:colOff>
                    <xdr:row>20</xdr:row>
                    <xdr:rowOff>85725</xdr:rowOff>
                  </to>
                </anchor>
              </controlPr>
            </control>
          </mc:Choice>
        </mc:AlternateContent>
        <mc:AlternateContent xmlns:mc="http://schemas.openxmlformats.org/markup-compatibility/2006">
          <mc:Choice Requires="x14">
            <control shapeId="19463" r:id="rId11" name="Label 7">
              <controlPr defaultSize="0" autoFill="0" autoLine="0" autoPict="0">
                <anchor moveWithCells="1" sizeWithCells="1">
                  <from>
                    <xdr:col>1</xdr:col>
                    <xdr:colOff>1057275</xdr:colOff>
                    <xdr:row>47</xdr:row>
                    <xdr:rowOff>0</xdr:rowOff>
                  </from>
                  <to>
                    <xdr:col>3</xdr:col>
                    <xdr:colOff>1104900</xdr:colOff>
                    <xdr:row>52</xdr:row>
                    <xdr:rowOff>66675</xdr:rowOff>
                  </to>
                </anchor>
              </controlPr>
            </control>
          </mc:Choice>
        </mc:AlternateContent>
        <mc:AlternateContent xmlns:mc="http://schemas.openxmlformats.org/markup-compatibility/2006">
          <mc:Choice Requires="x14">
            <control shapeId="19464" r:id="rId12" name="Label 8">
              <controlPr defaultSize="0" autoFill="0" autoLine="0" autoPict="0">
                <anchor moveWithCells="1" sizeWithCells="1">
                  <from>
                    <xdr:col>6</xdr:col>
                    <xdr:colOff>800100</xdr:colOff>
                    <xdr:row>47</xdr:row>
                    <xdr:rowOff>142875</xdr:rowOff>
                  </from>
                  <to>
                    <xdr:col>8</xdr:col>
                    <xdr:colOff>742950</xdr:colOff>
                    <xdr:row>53</xdr:row>
                    <xdr:rowOff>66675</xdr:rowOff>
                  </to>
                </anchor>
              </controlPr>
            </control>
          </mc:Choice>
        </mc:AlternateContent>
        <mc:AlternateContent xmlns:mc="http://schemas.openxmlformats.org/markup-compatibility/2006">
          <mc:Choice Requires="x14">
            <control shapeId="19465" r:id="rId13" name="Label 9">
              <controlPr defaultSize="0" autoFill="0" autoLine="0" autoPict="0">
                <anchor moveWithCells="1" sizeWithCells="1">
                  <from>
                    <xdr:col>11</xdr:col>
                    <xdr:colOff>219075</xdr:colOff>
                    <xdr:row>46</xdr:row>
                    <xdr:rowOff>95250</xdr:rowOff>
                  </from>
                  <to>
                    <xdr:col>13</xdr:col>
                    <xdr:colOff>142875</xdr:colOff>
                    <xdr:row>52</xdr:row>
                    <xdr:rowOff>104775</xdr:rowOff>
                  </to>
                </anchor>
              </controlPr>
            </control>
          </mc:Choice>
        </mc:AlternateContent>
        <mc:AlternateContent xmlns:mc="http://schemas.openxmlformats.org/markup-compatibility/2006">
          <mc:Choice Requires="x14">
            <control shapeId="19466" r:id="rId14" name="Label 10">
              <controlPr defaultSize="0" autoFill="0" autoLine="0" autoPict="0">
                <anchor moveWithCells="1" sizeWithCells="1">
                  <from>
                    <xdr:col>1</xdr:col>
                    <xdr:colOff>1266825</xdr:colOff>
                    <xdr:row>60</xdr:row>
                    <xdr:rowOff>133350</xdr:rowOff>
                  </from>
                  <to>
                    <xdr:col>3</xdr:col>
                    <xdr:colOff>495300</xdr:colOff>
                    <xdr:row>64</xdr:row>
                    <xdr:rowOff>76200</xdr:rowOff>
                  </to>
                </anchor>
              </controlPr>
            </control>
          </mc:Choice>
        </mc:AlternateContent>
        <mc:AlternateContent xmlns:mc="http://schemas.openxmlformats.org/markup-compatibility/2006">
          <mc:Choice Requires="x14">
            <control shapeId="19467" r:id="rId15" name="Label 11">
              <controlPr defaultSize="0" autoFill="0" autoLine="0" autoPict="0">
                <anchor moveWithCells="1" sizeWithCells="1">
                  <from>
                    <xdr:col>3</xdr:col>
                    <xdr:colOff>1171575</xdr:colOff>
                    <xdr:row>49</xdr:row>
                    <xdr:rowOff>171450</xdr:rowOff>
                  </from>
                  <to>
                    <xdr:col>4</xdr:col>
                    <xdr:colOff>1047750</xdr:colOff>
                    <xdr:row>51</xdr:row>
                    <xdr:rowOff>57150</xdr:rowOff>
                  </to>
                </anchor>
              </controlPr>
            </control>
          </mc:Choice>
        </mc:AlternateContent>
        <mc:AlternateContent xmlns:mc="http://schemas.openxmlformats.org/markup-compatibility/2006">
          <mc:Choice Requires="x14">
            <control shapeId="19468" r:id="rId16" name="Label 12">
              <controlPr defaultSize="0" autoFill="0" autoLine="0" autoPict="0">
                <anchor moveWithCells="1" sizeWithCells="1">
                  <from>
                    <xdr:col>9</xdr:col>
                    <xdr:colOff>0</xdr:colOff>
                    <xdr:row>50</xdr:row>
                    <xdr:rowOff>0</xdr:rowOff>
                  </from>
                  <to>
                    <xdr:col>9</xdr:col>
                    <xdr:colOff>1057275</xdr:colOff>
                    <xdr:row>51</xdr:row>
                    <xdr:rowOff>104775</xdr:rowOff>
                  </to>
                </anchor>
              </controlPr>
            </control>
          </mc:Choice>
        </mc:AlternateContent>
        <mc:AlternateContent xmlns:mc="http://schemas.openxmlformats.org/markup-compatibility/2006">
          <mc:Choice Requires="x14">
            <control shapeId="19469" r:id="rId17" name="Label 13">
              <controlPr defaultSize="0" autoFill="0" autoLine="0" autoPict="0">
                <anchor moveWithCells="1" sizeWithCells="1">
                  <from>
                    <xdr:col>13</xdr:col>
                    <xdr:colOff>981075</xdr:colOff>
                    <xdr:row>49</xdr:row>
                    <xdr:rowOff>152400</xdr:rowOff>
                  </from>
                  <to>
                    <xdr:col>14</xdr:col>
                    <xdr:colOff>942975</xdr:colOff>
                    <xdr:row>51</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C00CC"/>
  </sheetPr>
  <dimension ref="A1:IY116"/>
  <sheetViews>
    <sheetView showGridLines="0" zoomScale="85" zoomScaleNormal="85" zoomScalePageLayoutView="80" workbookViewId="0">
      <pane ySplit="1" topLeftCell="A2" activePane="bottomLeft" state="frozen"/>
      <selection pane="bottomLeft" activeCell="K4" sqref="K4"/>
    </sheetView>
  </sheetViews>
  <sheetFormatPr defaultColWidth="0" defaultRowHeight="15" customHeight="1" x14ac:dyDescent="0.2"/>
  <cols>
    <col min="1" max="1" width="1.59765625" style="3" customWidth="1"/>
    <col min="2" max="2" width="12.09765625" style="3" customWidth="1"/>
    <col min="3" max="3" width="2.69921875" style="3" customWidth="1"/>
    <col min="4" max="6" width="14.09765625" style="3" customWidth="1"/>
    <col min="7" max="7" width="1.59765625" customWidth="1"/>
    <col min="8" max="8" width="12.09765625" style="3" customWidth="1"/>
    <col min="9" max="9" width="2.69921875" style="3" customWidth="1"/>
    <col min="10" max="12" width="14.09765625" style="3" customWidth="1"/>
    <col min="13" max="13" width="1.59765625" customWidth="1"/>
    <col min="14" max="15" width="14.09765625" style="3" customWidth="1"/>
    <col min="16" max="16" width="14.09765625" style="12" customWidth="1"/>
    <col min="17" max="17" width="14.09765625" style="13" customWidth="1"/>
    <col min="18" max="18" width="14.09765625" customWidth="1"/>
    <col min="19" max="19" width="0" hidden="1" customWidth="1"/>
    <col min="20" max="28" width="0" style="12" hidden="1" customWidth="1"/>
    <col min="29" max="259" width="0" style="3" hidden="1" customWidth="1"/>
    <col min="260" max="16384" width="14.09765625" style="2" hidden="1"/>
  </cols>
  <sheetData>
    <row r="1" spans="1:259" s="148" customFormat="1" ht="21" customHeight="1" x14ac:dyDescent="0.25">
      <c r="A1" s="167"/>
      <c r="B1" s="480" t="s">
        <v>307</v>
      </c>
      <c r="C1" s="481"/>
      <c r="D1" s="481"/>
      <c r="E1" s="481"/>
      <c r="F1" s="482"/>
      <c r="G1" s="145"/>
      <c r="H1" s="480" t="s">
        <v>44</v>
      </c>
      <c r="I1" s="481"/>
      <c r="J1" s="481"/>
      <c r="K1" s="481"/>
      <c r="L1" s="482"/>
      <c r="M1" s="145"/>
      <c r="N1" s="480" t="s">
        <v>45</v>
      </c>
      <c r="O1" s="481"/>
      <c r="P1" s="481"/>
      <c r="Q1" s="482"/>
      <c r="R1" s="142"/>
      <c r="S1" s="142"/>
      <c r="T1" s="168"/>
      <c r="U1" s="168"/>
      <c r="V1" s="168"/>
      <c r="W1" s="168"/>
      <c r="X1" s="168"/>
      <c r="Y1" s="168"/>
      <c r="Z1" s="168"/>
      <c r="AA1" s="168"/>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row>
    <row r="2" spans="1:259" s="152" customFormat="1" ht="15" customHeight="1" x14ac:dyDescent="0.2">
      <c r="A2" s="149"/>
      <c r="B2" s="241"/>
      <c r="C2" s="241"/>
      <c r="D2" s="242"/>
      <c r="F2" s="150"/>
      <c r="G2" s="112"/>
      <c r="H2" s="241"/>
      <c r="I2" s="241"/>
      <c r="J2" s="243"/>
      <c r="K2" s="151"/>
      <c r="M2" s="112"/>
      <c r="N2" s="150"/>
      <c r="O2" s="151"/>
      <c r="P2" s="151"/>
      <c r="R2" s="1"/>
      <c r="S2" s="1"/>
      <c r="T2" s="153"/>
      <c r="U2" s="153"/>
      <c r="V2" s="153"/>
      <c r="W2" s="153"/>
      <c r="X2" s="153"/>
      <c r="Y2" s="153"/>
      <c r="Z2" s="153"/>
      <c r="AA2" s="153"/>
      <c r="AB2" s="153"/>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row>
    <row r="3" spans="1:259" s="152" customFormat="1" ht="15" customHeight="1" x14ac:dyDescent="0.2">
      <c r="A3" s="149"/>
      <c r="B3" s="241"/>
      <c r="C3" s="241"/>
      <c r="D3" s="243" t="s">
        <v>59</v>
      </c>
      <c r="E3" s="151" t="s">
        <v>60</v>
      </c>
      <c r="G3" s="112"/>
      <c r="H3" s="241"/>
      <c r="I3" s="241"/>
      <c r="J3" s="243" t="s">
        <v>59</v>
      </c>
      <c r="K3" s="151" t="s">
        <v>60</v>
      </c>
      <c r="M3" s="112"/>
      <c r="N3" s="150"/>
      <c r="O3" s="151" t="s">
        <v>59</v>
      </c>
      <c r="P3" s="151" t="s">
        <v>60</v>
      </c>
      <c r="R3" s="1"/>
      <c r="S3" s="1"/>
      <c r="T3" s="153"/>
      <c r="U3" s="153"/>
      <c r="V3" s="153"/>
      <c r="W3" s="153"/>
      <c r="X3" s="153"/>
      <c r="Y3" s="153"/>
      <c r="Z3" s="153"/>
      <c r="AA3" s="153"/>
      <c r="AB3" s="153"/>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row>
    <row r="4" spans="1:259" s="152" customFormat="1" ht="15" customHeight="1" x14ac:dyDescent="0.2">
      <c r="A4" s="149"/>
      <c r="B4" s="244" t="s">
        <v>4</v>
      </c>
      <c r="C4" s="244"/>
      <c r="D4" s="245">
        <f>'6.Change PH Exits'!D4</f>
        <v>0.17096774193548386</v>
      </c>
      <c r="E4" s="179"/>
      <c r="G4" s="112"/>
      <c r="H4" s="244" t="s">
        <v>4</v>
      </c>
      <c r="I4" s="244"/>
      <c r="J4" s="245">
        <f>'6.Change PH Exits'!J4</f>
        <v>0.31860465116279069</v>
      </c>
      <c r="K4" s="179"/>
      <c r="M4" s="112"/>
      <c r="N4" s="154" t="s">
        <v>4</v>
      </c>
      <c r="O4" s="170">
        <f>TRUNC('6.Change PH Exits'!O4,2)</f>
        <v>0.2</v>
      </c>
      <c r="P4" s="166" t="str">
        <f>IF(O4=Formulas!BY19,"",Formulas!BY19)</f>
        <v/>
      </c>
      <c r="Q4" s="172"/>
      <c r="R4" s="1"/>
      <c r="S4" s="1"/>
      <c r="T4" s="153"/>
      <c r="U4" s="153"/>
      <c r="V4" s="153"/>
      <c r="W4" s="153"/>
      <c r="X4" s="153"/>
      <c r="Y4" s="153"/>
      <c r="Z4" s="153"/>
      <c r="AA4" s="153"/>
      <c r="AB4" s="153"/>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row>
    <row r="5" spans="1:259" s="152" customFormat="1" ht="15" customHeight="1" x14ac:dyDescent="0.2">
      <c r="A5" s="149"/>
      <c r="B5" s="154" t="s">
        <v>3</v>
      </c>
      <c r="C5" s="154"/>
      <c r="D5" s="165">
        <f>'6.Change PH Exits'!D5</f>
        <v>0.41702127659574467</v>
      </c>
      <c r="E5" s="179"/>
      <c r="G5" s="112"/>
      <c r="H5" s="154" t="s">
        <v>3</v>
      </c>
      <c r="I5" s="154"/>
      <c r="J5" s="165">
        <f>'6.Change PH Exits'!J5</f>
        <v>0.55438596491228065</v>
      </c>
      <c r="K5" s="179"/>
      <c r="M5" s="112"/>
      <c r="N5" s="154" t="s">
        <v>3</v>
      </c>
      <c r="O5" s="170">
        <f>TRUNC('6.Change PH Exits'!O5,2)</f>
        <v>0.49</v>
      </c>
      <c r="P5" s="166" t="str">
        <f>IF(O5=Formulas!BY20,"",Formulas!BY20)</f>
        <v/>
      </c>
      <c r="Q5" s="171"/>
      <c r="R5" s="1"/>
      <c r="S5" s="1"/>
      <c r="T5" s="153"/>
      <c r="U5" s="153"/>
      <c r="V5" s="153"/>
      <c r="W5" s="153"/>
      <c r="X5" s="153"/>
      <c r="Y5" s="153"/>
      <c r="Z5" s="153"/>
      <c r="AA5" s="153"/>
      <c r="AB5" s="153"/>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row>
    <row r="6" spans="1:259" s="152" customFormat="1" ht="15" customHeight="1" x14ac:dyDescent="0.2">
      <c r="A6" s="149"/>
      <c r="B6" s="154" t="s">
        <v>1</v>
      </c>
      <c r="C6" s="154"/>
      <c r="D6" s="165">
        <f>'6.Change PH Exits'!D6</f>
        <v>0.7466666666666667</v>
      </c>
      <c r="E6" s="179"/>
      <c r="G6" s="112"/>
      <c r="H6" s="154" t="s">
        <v>1</v>
      </c>
      <c r="I6" s="154"/>
      <c r="J6" s="165">
        <f>'6.Change PH Exits'!J6</f>
        <v>0.8545454545454545</v>
      </c>
      <c r="K6" s="179"/>
      <c r="M6" s="112"/>
      <c r="N6" s="154" t="s">
        <v>1</v>
      </c>
      <c r="O6" s="170">
        <f>TRUNC('6.Change PH Exits'!O6,2)</f>
        <v>0.81</v>
      </c>
      <c r="P6" s="166" t="str">
        <f>IF(O6=Formulas!BY21,"",Formulas!BY21)</f>
        <v/>
      </c>
      <c r="R6" s="1"/>
      <c r="S6" s="1"/>
      <c r="T6" s="153"/>
      <c r="U6" s="153"/>
      <c r="V6" s="153"/>
      <c r="W6" s="153"/>
      <c r="X6" s="153"/>
      <c r="Y6" s="153"/>
      <c r="Z6" s="153"/>
      <c r="AA6" s="153"/>
      <c r="AB6" s="153"/>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row>
    <row r="7" spans="1:259" s="152" customFormat="1" ht="15" customHeight="1" x14ac:dyDescent="0.2">
      <c r="A7" s="149"/>
      <c r="B7" s="154"/>
      <c r="C7" s="154"/>
      <c r="D7"/>
      <c r="E7"/>
      <c r="G7" s="112"/>
      <c r="H7" s="154"/>
      <c r="I7" s="154"/>
      <c r="J7"/>
      <c r="K7"/>
      <c r="M7" s="112"/>
      <c r="N7" s="154"/>
      <c r="O7"/>
      <c r="P7"/>
      <c r="R7" s="1"/>
      <c r="S7" s="1"/>
      <c r="T7" s="153"/>
      <c r="U7" s="153"/>
      <c r="V7" s="153"/>
      <c r="W7" s="153"/>
      <c r="X7" s="153"/>
      <c r="Y7" s="153"/>
      <c r="Z7" s="153"/>
      <c r="AA7" s="153"/>
      <c r="AB7" s="153"/>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row>
    <row r="8" spans="1:259" s="152" customFormat="1" ht="15" customHeight="1" x14ac:dyDescent="0.2">
      <c r="A8" s="149"/>
      <c r="B8" s="150"/>
      <c r="C8" s="150"/>
      <c r="D8" s="151" t="s">
        <v>7</v>
      </c>
      <c r="E8" s="151" t="s">
        <v>8</v>
      </c>
      <c r="F8" s="150"/>
      <c r="G8" s="112"/>
      <c r="H8" s="150"/>
      <c r="I8" s="150"/>
      <c r="J8" s="151" t="s">
        <v>7</v>
      </c>
      <c r="K8" s="151" t="s">
        <v>8</v>
      </c>
      <c r="L8" s="150"/>
      <c r="M8" s="112"/>
      <c r="N8" s="150"/>
      <c r="O8" s="151" t="s">
        <v>7</v>
      </c>
      <c r="P8" s="151" t="s">
        <v>8</v>
      </c>
      <c r="Q8" s="150"/>
      <c r="R8" s="1"/>
      <c r="S8" s="1"/>
      <c r="T8" s="153"/>
      <c r="U8" s="153"/>
      <c r="V8" s="153"/>
      <c r="W8" s="153"/>
      <c r="X8" s="153"/>
      <c r="Y8" s="153"/>
      <c r="Z8" s="153"/>
      <c r="AA8" s="153"/>
      <c r="AB8" s="153"/>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c r="IW8" s="149"/>
      <c r="IX8" s="149"/>
      <c r="IY8" s="149"/>
    </row>
    <row r="9" spans="1:259" s="152" customFormat="1" ht="15" customHeight="1" x14ac:dyDescent="0.2">
      <c r="A9" s="149"/>
      <c r="B9" s="154" t="s">
        <v>4</v>
      </c>
      <c r="C9" s="154"/>
      <c r="D9" s="155">
        <f>'7.Change LOS'!D4</f>
        <v>47.096774193548384</v>
      </c>
      <c r="E9" s="180"/>
      <c r="F9" s="19"/>
      <c r="G9" s="112"/>
      <c r="H9" s="154" t="s">
        <v>4</v>
      </c>
      <c r="I9" s="154"/>
      <c r="J9" s="155">
        <f>'7.Change LOS'!J4</f>
        <v>76.395348837209298</v>
      </c>
      <c r="K9" s="180"/>
      <c r="L9" s="19"/>
      <c r="M9" s="112"/>
      <c r="N9" s="154" t="s">
        <v>4</v>
      </c>
      <c r="O9" s="155">
        <f>'7.Change LOS'!O4</f>
        <v>53.459595959595958</v>
      </c>
      <c r="P9" s="156">
        <f>Formulas!BX19</f>
        <v>53.459595959595951</v>
      </c>
      <c r="Q9" s="19"/>
      <c r="R9" s="1"/>
      <c r="S9" s="1"/>
      <c r="T9" s="153"/>
      <c r="U9" s="153"/>
      <c r="V9" s="153"/>
      <c r="W9" s="153"/>
      <c r="X9" s="153"/>
      <c r="Y9" s="153"/>
      <c r="Z9" s="153"/>
      <c r="AA9" s="153"/>
      <c r="AB9" s="153"/>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row>
    <row r="10" spans="1:259" s="152" customFormat="1" ht="15" customHeight="1" x14ac:dyDescent="0.2">
      <c r="A10" s="149"/>
      <c r="B10" s="154" t="s">
        <v>3</v>
      </c>
      <c r="C10" s="154"/>
      <c r="D10" s="155">
        <f>'7.Change LOS'!D5</f>
        <v>264.04255319148939</v>
      </c>
      <c r="E10" s="180"/>
      <c r="F10" s="19"/>
      <c r="G10" s="112"/>
      <c r="H10" s="154" t="s">
        <v>3</v>
      </c>
      <c r="I10" s="154"/>
      <c r="J10" s="155">
        <f>'7.Change LOS'!J5</f>
        <v>307.36842105263156</v>
      </c>
      <c r="K10" s="180"/>
      <c r="L10" s="19"/>
      <c r="M10" s="112"/>
      <c r="N10" s="154" t="s">
        <v>3</v>
      </c>
      <c r="O10" s="155">
        <f>'7.Change LOS'!O5</f>
        <v>287.78846153846155</v>
      </c>
      <c r="P10" s="156">
        <f>Formulas!BX20</f>
        <v>287.78846153846155</v>
      </c>
      <c r="Q10" s="19"/>
      <c r="R10" s="1"/>
      <c r="S10" s="1"/>
      <c r="T10" s="153"/>
      <c r="U10" s="153"/>
      <c r="V10" s="153"/>
      <c r="W10" s="153"/>
      <c r="X10" s="153"/>
      <c r="Y10" s="153"/>
      <c r="Z10" s="153"/>
      <c r="AA10" s="153"/>
      <c r="AB10" s="153"/>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row>
    <row r="11" spans="1:259" s="152" customFormat="1" ht="15" customHeight="1" x14ac:dyDescent="0.2">
      <c r="A11" s="149"/>
      <c r="B11" s="154" t="s">
        <v>1</v>
      </c>
      <c r="C11" s="154"/>
      <c r="D11" s="155">
        <f>'7.Change LOS'!D6</f>
        <v>121.66666666666667</v>
      </c>
      <c r="E11" s="180"/>
      <c r="F11" s="19"/>
      <c r="G11" s="112"/>
      <c r="H11" s="154" t="s">
        <v>1</v>
      </c>
      <c r="I11" s="154"/>
      <c r="J11" s="155">
        <f>'7.Change LOS'!J6</f>
        <v>99.545454545454547</v>
      </c>
      <c r="K11" s="180"/>
      <c r="L11" s="19"/>
      <c r="M11" s="112"/>
      <c r="N11" s="154" t="s">
        <v>1</v>
      </c>
      <c r="O11" s="155">
        <f>'7.Change LOS'!O6</f>
        <v>107.35294117647059</v>
      </c>
      <c r="P11" s="156">
        <f>Formulas!BX21</f>
        <v>107.35294117647059</v>
      </c>
      <c r="Q11" s="19"/>
      <c r="R11" s="1"/>
      <c r="S11" s="1"/>
      <c r="T11" s="153"/>
      <c r="U11" s="153"/>
      <c r="V11" s="153"/>
      <c r="W11" s="153"/>
      <c r="X11" s="153"/>
      <c r="Y11" s="153"/>
      <c r="Z11" s="153"/>
      <c r="AA11" s="153"/>
      <c r="AB11" s="153"/>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row>
    <row r="12" spans="1:259" s="152" customFormat="1" ht="15" customHeight="1" x14ac:dyDescent="0.2">
      <c r="A12" s="149"/>
      <c r="B12" s="149"/>
      <c r="C12" s="149"/>
      <c r="D12" s="149"/>
      <c r="E12" s="149"/>
      <c r="F12" s="149"/>
      <c r="G12" s="112"/>
      <c r="H12" s="149"/>
      <c r="I12" s="149"/>
      <c r="J12" s="149"/>
      <c r="K12" s="149"/>
      <c r="L12" s="149"/>
      <c r="M12" s="112"/>
      <c r="N12" s="149"/>
      <c r="O12" s="149"/>
      <c r="P12" s="149"/>
      <c r="Q12" s="149"/>
      <c r="R12" s="1"/>
      <c r="S12" s="1"/>
      <c r="T12" s="153"/>
      <c r="U12" s="153"/>
      <c r="V12" s="153"/>
      <c r="W12" s="153"/>
      <c r="X12" s="153"/>
      <c r="Y12" s="153"/>
      <c r="Z12" s="153"/>
      <c r="AA12" s="153"/>
      <c r="AB12" s="153"/>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c r="IU12" s="149"/>
      <c r="IV12" s="149"/>
      <c r="IW12" s="149"/>
      <c r="IX12" s="149"/>
      <c r="IY12" s="149"/>
    </row>
    <row r="13" spans="1:259" s="4" customFormat="1" ht="15" customHeight="1" x14ac:dyDescent="0.2">
      <c r="A13" s="5"/>
      <c r="B13" s="5"/>
      <c r="C13" s="5"/>
      <c r="D13" s="151" t="s">
        <v>21</v>
      </c>
      <c r="E13" s="157" t="s">
        <v>11</v>
      </c>
      <c r="F13" s="157" t="s">
        <v>22</v>
      </c>
      <c r="G13" s="112"/>
      <c r="H13" s="5"/>
      <c r="I13" s="5"/>
      <c r="J13" s="151" t="s">
        <v>21</v>
      </c>
      <c r="K13" s="157" t="s">
        <v>11</v>
      </c>
      <c r="L13" s="157" t="s">
        <v>22</v>
      </c>
      <c r="M13" s="112"/>
      <c r="N13" s="5"/>
      <c r="O13" s="151" t="s">
        <v>21</v>
      </c>
      <c r="P13" s="157" t="s">
        <v>11</v>
      </c>
      <c r="Q13" s="157" t="s">
        <v>22</v>
      </c>
      <c r="R13" s="1"/>
      <c r="S13" s="1"/>
      <c r="T13" s="158"/>
      <c r="U13" s="158"/>
      <c r="V13" s="158"/>
      <c r="W13" s="158"/>
      <c r="X13" s="158"/>
      <c r="Y13" s="158"/>
      <c r="Z13" s="158"/>
      <c r="AA13" s="158"/>
      <c r="AB13" s="158"/>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row>
    <row r="14" spans="1:259" s="152" customFormat="1" ht="15" customHeight="1" x14ac:dyDescent="0.2">
      <c r="A14" s="150"/>
      <c r="B14" s="160" t="s">
        <v>4</v>
      </c>
      <c r="C14" s="160"/>
      <c r="D14" s="161">
        <f>'8.Change Investments'!D4</f>
        <v>2000000</v>
      </c>
      <c r="E14" s="181"/>
      <c r="F14" s="161">
        <f>D14+E14</f>
        <v>2000000</v>
      </c>
      <c r="G14" s="112"/>
      <c r="H14" s="160" t="s">
        <v>4</v>
      </c>
      <c r="I14" s="160"/>
      <c r="J14" s="161">
        <f>'8.Change Investments'!J4</f>
        <v>1200000</v>
      </c>
      <c r="K14" s="181"/>
      <c r="L14" s="161">
        <f>J14+K14</f>
        <v>1200000</v>
      </c>
      <c r="M14" s="112"/>
      <c r="N14" s="160" t="s">
        <v>4</v>
      </c>
      <c r="O14" s="161">
        <f>D14+J14</f>
        <v>3200000</v>
      </c>
      <c r="P14" s="173">
        <f>E14+K14</f>
        <v>0</v>
      </c>
      <c r="Q14" s="161">
        <f>O14+P14</f>
        <v>3200000</v>
      </c>
      <c r="R14" s="1"/>
      <c r="S14" s="1"/>
      <c r="T14" s="153"/>
      <c r="U14" s="153"/>
      <c r="V14" s="153"/>
      <c r="W14" s="153"/>
      <c r="X14" s="153"/>
      <c r="Y14" s="153"/>
      <c r="Z14" s="153"/>
      <c r="AA14" s="153"/>
      <c r="AB14" s="153"/>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row>
    <row r="15" spans="1:259" s="152" customFormat="1" ht="15" customHeight="1" x14ac:dyDescent="0.2">
      <c r="A15" s="149"/>
      <c r="B15" s="160" t="s">
        <v>3</v>
      </c>
      <c r="C15" s="160"/>
      <c r="D15" s="161">
        <f>'8.Change Investments'!D5</f>
        <v>1800000</v>
      </c>
      <c r="E15" s="181"/>
      <c r="F15" s="161">
        <f t="shared" ref="F15:F17" si="0">D15+E15</f>
        <v>1800000</v>
      </c>
      <c r="G15" s="112"/>
      <c r="H15" s="160" t="s">
        <v>3</v>
      </c>
      <c r="I15" s="160"/>
      <c r="J15" s="161">
        <f>'8.Change Investments'!J5</f>
        <v>3000000</v>
      </c>
      <c r="K15" s="181"/>
      <c r="L15" s="161">
        <f t="shared" ref="L15:L17" si="1">J15+K15</f>
        <v>3000000</v>
      </c>
      <c r="M15" s="112"/>
      <c r="N15" s="160" t="s">
        <v>3</v>
      </c>
      <c r="O15" s="161">
        <f t="shared" ref="O15:O17" si="2">D15+J15</f>
        <v>4800000</v>
      </c>
      <c r="P15" s="173">
        <f t="shared" ref="P15:P17" si="3">E15+K15</f>
        <v>0</v>
      </c>
      <c r="Q15" s="161">
        <f t="shared" ref="Q15:Q17" si="4">O15+P15</f>
        <v>4800000</v>
      </c>
      <c r="R15" s="1"/>
      <c r="S15" s="1"/>
      <c r="T15" s="153"/>
      <c r="U15" s="153"/>
      <c r="V15" s="153"/>
      <c r="W15" s="153"/>
      <c r="X15" s="153"/>
      <c r="Y15" s="153"/>
      <c r="Z15" s="153"/>
      <c r="AA15" s="153"/>
      <c r="AB15" s="153"/>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c r="IW15" s="149"/>
      <c r="IX15" s="149"/>
      <c r="IY15" s="149"/>
    </row>
    <row r="16" spans="1:259" s="152" customFormat="1" ht="15" customHeight="1" x14ac:dyDescent="0.2">
      <c r="A16" s="149"/>
      <c r="B16" s="160" t="s">
        <v>1</v>
      </c>
      <c r="C16" s="160"/>
      <c r="D16" s="161">
        <f>'8.Change Investments'!D6</f>
        <v>645000</v>
      </c>
      <c r="E16" s="181"/>
      <c r="F16" s="161">
        <f t="shared" si="0"/>
        <v>645000</v>
      </c>
      <c r="G16" s="112"/>
      <c r="H16" s="160" t="s">
        <v>1</v>
      </c>
      <c r="I16" s="160"/>
      <c r="J16" s="161">
        <f>'8.Change Investments'!J6</f>
        <v>850000</v>
      </c>
      <c r="K16" s="181"/>
      <c r="L16" s="161">
        <f t="shared" si="1"/>
        <v>850000</v>
      </c>
      <c r="M16" s="112"/>
      <c r="N16" s="160" t="s">
        <v>1</v>
      </c>
      <c r="O16" s="161">
        <f t="shared" si="2"/>
        <v>1495000</v>
      </c>
      <c r="P16" s="173">
        <f t="shared" si="3"/>
        <v>0</v>
      </c>
      <c r="Q16" s="161">
        <f t="shared" si="4"/>
        <v>1495000</v>
      </c>
      <c r="R16" s="1"/>
      <c r="S16" s="1"/>
      <c r="T16" s="153"/>
      <c r="U16" s="153"/>
      <c r="V16" s="153"/>
      <c r="W16" s="153"/>
      <c r="X16" s="153"/>
      <c r="Y16" s="153"/>
      <c r="Z16" s="153"/>
      <c r="AA16" s="153"/>
      <c r="AB16" s="153"/>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c r="IW16" s="149"/>
      <c r="IX16" s="149"/>
      <c r="IY16" s="149"/>
    </row>
    <row r="17" spans="1:259" s="152" customFormat="1" ht="15" customHeight="1" x14ac:dyDescent="0.2">
      <c r="A17" s="149"/>
      <c r="B17" s="162" t="s">
        <v>58</v>
      </c>
      <c r="C17" s="162"/>
      <c r="D17" s="161">
        <f>'8.Change Investments'!D7</f>
        <v>2500000</v>
      </c>
      <c r="E17" s="181"/>
      <c r="F17" s="161">
        <f t="shared" si="0"/>
        <v>2500000</v>
      </c>
      <c r="G17" s="112"/>
      <c r="H17" s="162" t="s">
        <v>58</v>
      </c>
      <c r="I17" s="162"/>
      <c r="J17" s="161">
        <f>'8.Change Investments'!J7</f>
        <v>1500000</v>
      </c>
      <c r="K17" s="181"/>
      <c r="L17" s="161">
        <f t="shared" si="1"/>
        <v>1500000</v>
      </c>
      <c r="M17" s="112"/>
      <c r="N17" s="162" t="s">
        <v>58</v>
      </c>
      <c r="O17" s="161">
        <f t="shared" si="2"/>
        <v>4000000</v>
      </c>
      <c r="P17" s="173">
        <f t="shared" si="3"/>
        <v>0</v>
      </c>
      <c r="Q17" s="161">
        <f t="shared" si="4"/>
        <v>4000000</v>
      </c>
      <c r="R17" s="1"/>
      <c r="S17" s="1"/>
      <c r="T17" s="153"/>
      <c r="U17" s="153"/>
      <c r="V17" s="153"/>
      <c r="W17" s="153"/>
      <c r="X17" s="153"/>
      <c r="Y17" s="153"/>
      <c r="Z17" s="153"/>
      <c r="AA17" s="153"/>
      <c r="AB17" s="153"/>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c r="IW17" s="149"/>
      <c r="IX17" s="149"/>
      <c r="IY17" s="149"/>
    </row>
    <row r="18" spans="1:259" s="152" customFormat="1" ht="15" customHeight="1" x14ac:dyDescent="0.2">
      <c r="A18" s="149"/>
      <c r="B18" s="163" t="s">
        <v>23</v>
      </c>
      <c r="C18" s="163"/>
      <c r="D18" s="164">
        <f>SUM(D14:D17)</f>
        <v>6945000</v>
      </c>
      <c r="E18" s="164">
        <f>SUM(E14:E17)</f>
        <v>0</v>
      </c>
      <c r="F18" s="164">
        <f>SUM(F14:F17)</f>
        <v>6945000</v>
      </c>
      <c r="G18" s="112"/>
      <c r="H18" s="163" t="s">
        <v>23</v>
      </c>
      <c r="I18" s="163"/>
      <c r="J18" s="164">
        <f>SUM(J14:J17)</f>
        <v>6550000</v>
      </c>
      <c r="K18" s="164">
        <f>SUM(K14:K17)</f>
        <v>0</v>
      </c>
      <c r="L18" s="164">
        <f>SUM(L14:L17)</f>
        <v>6550000</v>
      </c>
      <c r="M18" s="112"/>
      <c r="N18" s="163" t="s">
        <v>23</v>
      </c>
      <c r="O18" s="164">
        <f>SUM(O14:O17)</f>
        <v>13495000</v>
      </c>
      <c r="P18" s="164">
        <f>SUM(P14:P17)</f>
        <v>0</v>
      </c>
      <c r="Q18" s="164">
        <f>SUM(Q14:Q17)</f>
        <v>13495000</v>
      </c>
      <c r="R18" s="1"/>
      <c r="S18" s="1"/>
      <c r="T18" s="153"/>
      <c r="U18" s="153"/>
      <c r="V18" s="153"/>
      <c r="W18" s="153"/>
      <c r="X18" s="153"/>
      <c r="Y18" s="153"/>
      <c r="Z18" s="153"/>
      <c r="AA18" s="153"/>
      <c r="AB18" s="153"/>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c r="IW18" s="149"/>
      <c r="IX18" s="149"/>
      <c r="IY18" s="149"/>
    </row>
    <row r="19" spans="1:259" s="152" customFormat="1" ht="15" customHeight="1" x14ac:dyDescent="0.2">
      <c r="A19" s="149"/>
      <c r="B19" s="163"/>
      <c r="C19" s="163"/>
      <c r="D19" s="164"/>
      <c r="E19" s="164"/>
      <c r="F19" s="164"/>
      <c r="G19" s="112"/>
      <c r="H19" s="163"/>
      <c r="I19" s="163"/>
      <c r="J19" s="164"/>
      <c r="K19" s="164"/>
      <c r="L19" s="164"/>
      <c r="M19" s="112"/>
      <c r="N19" s="163"/>
      <c r="O19" s="164"/>
      <c r="P19" s="164"/>
      <c r="Q19" s="164"/>
      <c r="R19" s="1"/>
      <c r="S19" s="1"/>
      <c r="T19" s="153"/>
      <c r="U19" s="153"/>
      <c r="V19" s="153"/>
      <c r="W19" s="153"/>
      <c r="X19" s="153"/>
      <c r="Y19" s="153"/>
      <c r="Z19" s="153"/>
      <c r="AA19" s="153"/>
      <c r="AB19" s="153"/>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c r="IW19" s="149"/>
      <c r="IX19" s="149"/>
      <c r="IY19" s="149"/>
    </row>
    <row r="20" spans="1:259" s="152" customFormat="1" ht="15" customHeight="1" x14ac:dyDescent="0.2">
      <c r="A20" s="149"/>
      <c r="B20" s="163"/>
      <c r="C20" s="163"/>
      <c r="D20" s="207" t="s">
        <v>116</v>
      </c>
      <c r="E20" s="207" t="s">
        <v>117</v>
      </c>
      <c r="F20" s="164"/>
      <c r="G20" s="112"/>
      <c r="H20" s="163"/>
      <c r="I20" s="163"/>
      <c r="J20" s="207" t="s">
        <v>116</v>
      </c>
      <c r="K20" s="207" t="s">
        <v>117</v>
      </c>
      <c r="L20" s="164"/>
      <c r="M20" s="112"/>
      <c r="N20" s="163"/>
      <c r="O20" s="207" t="s">
        <v>116</v>
      </c>
      <c r="P20" s="207" t="s">
        <v>117</v>
      </c>
      <c r="Q20" s="164"/>
      <c r="R20" s="1"/>
      <c r="S20" s="1"/>
      <c r="T20" s="153"/>
      <c r="U20" s="153"/>
      <c r="V20" s="153"/>
      <c r="W20" s="153"/>
      <c r="X20" s="153"/>
      <c r="Y20" s="153"/>
      <c r="Z20" s="153"/>
      <c r="AA20" s="153"/>
      <c r="AB20" s="153"/>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c r="IW20" s="149"/>
      <c r="IX20" s="149"/>
      <c r="IY20" s="149"/>
    </row>
    <row r="21" spans="1:259" s="152" customFormat="1" ht="15" customHeight="1" x14ac:dyDescent="0.2">
      <c r="A21" s="149"/>
      <c r="B21" s="154" t="s">
        <v>4</v>
      </c>
      <c r="C21" s="154"/>
      <c r="D21" s="208">
        <f>'10.Summary of Changes'!C111</f>
        <v>0.14716981132075471</v>
      </c>
      <c r="E21" s="221"/>
      <c r="F21" s="164"/>
      <c r="G21" s="112"/>
      <c r="H21" s="154" t="s">
        <v>4</v>
      </c>
      <c r="I21" s="154"/>
      <c r="J21" s="208">
        <f>'10.Summary of Changes'!H111</f>
        <v>0.10948905109489052</v>
      </c>
      <c r="K21" s="221"/>
      <c r="L21" s="164"/>
      <c r="M21" s="112"/>
      <c r="N21" s="154" t="s">
        <v>4</v>
      </c>
      <c r="O21" s="208">
        <f>'10.Summary of Changes'!M111</f>
        <v>0.13432835820895522</v>
      </c>
      <c r="P21" s="209">
        <f>Formulas!BZ19</f>
        <v>0.13432835820895522</v>
      </c>
      <c r="Q21" s="164"/>
      <c r="R21" s="1"/>
      <c r="S21" s="1"/>
      <c r="T21" s="153"/>
      <c r="U21" s="153"/>
      <c r="V21" s="153"/>
      <c r="W21" s="153"/>
      <c r="X21" s="153"/>
      <c r="Y21" s="153"/>
      <c r="Z21" s="153"/>
      <c r="AA21" s="153"/>
      <c r="AB21" s="153"/>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c r="IW21" s="149"/>
      <c r="IX21" s="149"/>
      <c r="IY21" s="149"/>
    </row>
    <row r="22" spans="1:259" s="152" customFormat="1" ht="15" customHeight="1" x14ac:dyDescent="0.2">
      <c r="A22" s="149"/>
      <c r="B22" s="154" t="s">
        <v>3</v>
      </c>
      <c r="C22" s="154"/>
      <c r="D22" s="208">
        <f>'10.Summary of Changes'!C112</f>
        <v>7.1428571428571425E-2</v>
      </c>
      <c r="E22" s="221"/>
      <c r="F22" s="164"/>
      <c r="G22" s="112"/>
      <c r="H22" s="154" t="s">
        <v>3</v>
      </c>
      <c r="I22" s="154"/>
      <c r="J22" s="208">
        <f>'10.Summary of Changes'!H112</f>
        <v>8.8607594936708861E-2</v>
      </c>
      <c r="K22" s="221"/>
      <c r="L22" s="164"/>
      <c r="M22" s="112"/>
      <c r="N22" s="154" t="s">
        <v>3</v>
      </c>
      <c r="O22" s="208">
        <f>'10.Summary of Changes'!M112</f>
        <v>8.203125E-2</v>
      </c>
      <c r="P22" s="209">
        <f>Formulas!BZ20</f>
        <v>8.203125E-2</v>
      </c>
      <c r="Q22" s="164"/>
      <c r="R22" s="1"/>
      <c r="S22" s="1"/>
      <c r="T22" s="153"/>
      <c r="U22" s="153"/>
      <c r="V22" s="153"/>
      <c r="W22" s="153"/>
      <c r="X22" s="153"/>
      <c r="Y22" s="153"/>
      <c r="Z22" s="153"/>
      <c r="AA22" s="153"/>
      <c r="AB22" s="153"/>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c r="IW22" s="149"/>
      <c r="IX22" s="149"/>
      <c r="IY22" s="149"/>
    </row>
    <row r="23" spans="1:259" s="152" customFormat="1" ht="15" customHeight="1" x14ac:dyDescent="0.2">
      <c r="A23" s="149"/>
      <c r="B23" s="154" t="s">
        <v>1</v>
      </c>
      <c r="C23" s="154"/>
      <c r="D23" s="208">
        <f>'10.Summary of Changes'!C113</f>
        <v>8.9285714285714288E-2</v>
      </c>
      <c r="E23" s="221"/>
      <c r="F23" s="164"/>
      <c r="G23" s="112"/>
      <c r="H23" s="154" t="s">
        <v>1</v>
      </c>
      <c r="I23" s="154"/>
      <c r="J23" s="208">
        <f>'10.Summary of Changes'!H113</f>
        <v>3.8297872340425532E-2</v>
      </c>
      <c r="K23" s="221"/>
      <c r="L23" s="164"/>
      <c r="M23" s="112"/>
      <c r="N23" s="154" t="s">
        <v>1</v>
      </c>
      <c r="O23" s="208">
        <f>'10.Summary of Changes'!M113</f>
        <v>5.4755043227665709E-2</v>
      </c>
      <c r="P23" s="209">
        <f>Formulas!BZ21</f>
        <v>5.4755043227665709E-2</v>
      </c>
      <c r="Q23" s="164"/>
      <c r="R23" s="1"/>
      <c r="S23" s="1"/>
      <c r="T23" s="153"/>
      <c r="U23" s="153"/>
      <c r="V23" s="153"/>
      <c r="W23" s="153"/>
      <c r="X23" s="153"/>
      <c r="Y23" s="153"/>
      <c r="Z23" s="153"/>
      <c r="AA23" s="153"/>
      <c r="AB23" s="153"/>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row>
    <row r="24" spans="1:259" s="152" customFormat="1" ht="15" customHeight="1" x14ac:dyDescent="0.2">
      <c r="A24" s="149"/>
      <c r="B24" s="163"/>
      <c r="C24" s="163"/>
      <c r="D24" s="164"/>
      <c r="E24" s="164"/>
      <c r="F24" s="164"/>
      <c r="G24" s="112"/>
      <c r="H24" s="163"/>
      <c r="I24" s="163"/>
      <c r="J24" s="164"/>
      <c r="K24" s="164"/>
      <c r="L24" s="164"/>
      <c r="M24" s="112"/>
      <c r="N24" s="163"/>
      <c r="O24" s="164"/>
      <c r="P24" s="164"/>
      <c r="Q24" s="164"/>
      <c r="R24" s="1"/>
      <c r="S24" s="1"/>
      <c r="T24" s="153"/>
      <c r="U24" s="153"/>
      <c r="V24" s="153"/>
      <c r="W24" s="153"/>
      <c r="X24" s="153"/>
      <c r="Y24" s="153"/>
      <c r="Z24" s="153"/>
      <c r="AA24" s="153"/>
      <c r="AB24" s="153"/>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c r="IW24" s="149"/>
      <c r="IX24" s="149"/>
      <c r="IY24" s="149"/>
    </row>
    <row r="25" spans="1:259" s="152" customFormat="1" ht="15" customHeight="1" x14ac:dyDescent="0.2">
      <c r="A25" s="149"/>
      <c r="B25" s="149"/>
      <c r="C25" s="149"/>
      <c r="D25" s="149"/>
      <c r="E25" s="149"/>
      <c r="F25" s="149"/>
      <c r="G25" s="112"/>
      <c r="H25" s="149"/>
      <c r="I25" s="149"/>
      <c r="J25" s="149"/>
      <c r="K25" s="149"/>
      <c r="L25" s="149"/>
      <c r="M25" s="112"/>
      <c r="N25" s="149"/>
      <c r="O25" s="149"/>
      <c r="P25" s="149"/>
      <c r="Q25" s="149"/>
      <c r="R25" s="1"/>
      <c r="S25" s="1"/>
      <c r="T25" s="153"/>
      <c r="U25" s="153"/>
      <c r="V25" s="153"/>
      <c r="W25" s="153"/>
      <c r="X25" s="153"/>
      <c r="Y25" s="153"/>
      <c r="Z25" s="153"/>
      <c r="AA25" s="153"/>
      <c r="AB25" s="153"/>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row>
    <row r="26" spans="1:259" s="152" customFormat="1" ht="15" customHeight="1" x14ac:dyDescent="0.2">
      <c r="G26" s="174"/>
      <c r="M26" s="174"/>
      <c r="R26" s="1"/>
      <c r="S26" s="1"/>
      <c r="T26" s="153"/>
      <c r="U26" s="153"/>
      <c r="V26" s="153"/>
      <c r="W26" s="153"/>
      <c r="X26" s="153"/>
      <c r="Y26" s="153"/>
      <c r="Z26" s="153"/>
      <c r="AA26" s="153"/>
      <c r="AB26" s="153"/>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c r="IW26" s="149"/>
      <c r="IX26" s="149"/>
      <c r="IY26" s="149"/>
    </row>
    <row r="27" spans="1:259" s="152" customFormat="1" ht="15" customHeight="1" x14ac:dyDescent="0.2">
      <c r="G27" s="174"/>
      <c r="M27" s="174"/>
      <c r="R27" s="1"/>
      <c r="S27" s="1"/>
      <c r="T27" s="153"/>
      <c r="U27" s="153"/>
      <c r="V27" s="153"/>
      <c r="W27" s="153"/>
      <c r="X27" s="153"/>
      <c r="Y27" s="153"/>
      <c r="Z27" s="153"/>
      <c r="AA27" s="153"/>
      <c r="AB27" s="153"/>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c r="IW27" s="149"/>
      <c r="IX27" s="149"/>
      <c r="IY27" s="149"/>
    </row>
    <row r="28" spans="1:259" s="152" customFormat="1" ht="15" customHeight="1" x14ac:dyDescent="0.2">
      <c r="G28" s="174"/>
      <c r="M28" s="174"/>
      <c r="R28" s="1"/>
      <c r="S28" s="1"/>
      <c r="T28" s="153"/>
      <c r="U28" s="153"/>
      <c r="V28" s="153"/>
      <c r="W28" s="153"/>
      <c r="X28" s="153"/>
      <c r="Y28" s="153"/>
      <c r="Z28" s="153"/>
      <c r="AA28" s="153"/>
      <c r="AB28" s="153"/>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c r="IW28" s="149"/>
      <c r="IX28" s="149"/>
      <c r="IY28" s="149"/>
    </row>
    <row r="29" spans="1:259" s="152" customFormat="1" ht="15" customHeight="1" x14ac:dyDescent="0.2">
      <c r="G29" s="174"/>
      <c r="M29" s="174"/>
      <c r="R29" s="1"/>
      <c r="S29" s="1"/>
      <c r="T29" s="153"/>
      <c r="U29" s="153"/>
      <c r="V29" s="153"/>
      <c r="W29" s="153"/>
      <c r="X29" s="153"/>
      <c r="Y29" s="153"/>
      <c r="Z29" s="153"/>
      <c r="AA29" s="153"/>
      <c r="AB29" s="153"/>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c r="IW29" s="149"/>
      <c r="IX29" s="149"/>
      <c r="IY29" s="149"/>
    </row>
    <row r="30" spans="1:259" s="152" customFormat="1" ht="15" customHeight="1" x14ac:dyDescent="0.2">
      <c r="A30" s="149"/>
      <c r="B30" s="149"/>
      <c r="C30" s="149"/>
      <c r="D30" s="149"/>
      <c r="E30" s="149"/>
      <c r="F30" s="149"/>
      <c r="G30" s="112"/>
      <c r="H30" s="149"/>
      <c r="I30" s="149"/>
      <c r="J30" s="149"/>
      <c r="K30" s="149"/>
      <c r="L30" s="149"/>
      <c r="M30" s="112"/>
      <c r="N30" s="149"/>
      <c r="O30" s="149"/>
      <c r="P30" s="153"/>
      <c r="Q30" s="13"/>
      <c r="R30" s="1"/>
      <c r="S30" s="1"/>
      <c r="T30" s="153"/>
      <c r="U30" s="153"/>
      <c r="V30" s="153"/>
      <c r="W30" s="153"/>
      <c r="X30" s="153"/>
      <c r="Y30" s="153"/>
      <c r="Z30" s="153"/>
      <c r="AA30" s="153"/>
      <c r="AB30" s="153"/>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c r="IW30" s="149"/>
      <c r="IX30" s="149"/>
      <c r="IY30" s="149"/>
    </row>
    <row r="31" spans="1:259" ht="15" customHeight="1" x14ac:dyDescent="0.2">
      <c r="G31" s="125"/>
      <c r="M31" s="125"/>
    </row>
    <row r="32" spans="1:259" ht="15" customHeight="1" x14ac:dyDescent="0.2">
      <c r="G32" s="125"/>
      <c r="M32" s="125"/>
    </row>
    <row r="33" spans="7:13" ht="15" customHeight="1" x14ac:dyDescent="0.2">
      <c r="G33" s="125"/>
      <c r="M33" s="125"/>
    </row>
    <row r="34" spans="7:13" ht="15" customHeight="1" x14ac:dyDescent="0.2">
      <c r="G34" s="125"/>
      <c r="M34" s="125"/>
    </row>
    <row r="35" spans="7:13" ht="15" customHeight="1" x14ac:dyDescent="0.2">
      <c r="G35" s="125"/>
      <c r="M35" s="125"/>
    </row>
    <row r="36" spans="7:13" ht="15" customHeight="1" x14ac:dyDescent="0.2">
      <c r="G36" s="125"/>
      <c r="M36" s="125"/>
    </row>
    <row r="37" spans="7:13" ht="15" customHeight="1" x14ac:dyDescent="0.2">
      <c r="G37" s="125"/>
      <c r="M37" s="125"/>
    </row>
    <row r="38" spans="7:13" ht="15" customHeight="1" x14ac:dyDescent="0.2">
      <c r="G38" s="125"/>
      <c r="M38" s="125"/>
    </row>
    <row r="39" spans="7:13" ht="15" customHeight="1" x14ac:dyDescent="0.2">
      <c r="G39" s="125"/>
      <c r="M39" s="125"/>
    </row>
    <row r="40" spans="7:13" ht="15" customHeight="1" x14ac:dyDescent="0.2">
      <c r="G40" s="125"/>
      <c r="M40" s="125"/>
    </row>
    <row r="41" spans="7:13" ht="15" customHeight="1" x14ac:dyDescent="0.2">
      <c r="G41" s="125"/>
      <c r="M41" s="125"/>
    </row>
    <row r="42" spans="7:13" ht="15" customHeight="1" x14ac:dyDescent="0.2">
      <c r="G42" s="125"/>
      <c r="M42" s="125"/>
    </row>
    <row r="43" spans="7:13" ht="15" customHeight="1" x14ac:dyDescent="0.2">
      <c r="G43" s="125"/>
      <c r="M43" s="125"/>
    </row>
    <row r="44" spans="7:13" ht="15" customHeight="1" x14ac:dyDescent="0.2">
      <c r="G44" s="125"/>
      <c r="M44" s="125"/>
    </row>
    <row r="45" spans="7:13" ht="15" customHeight="1" x14ac:dyDescent="0.2">
      <c r="G45" s="125"/>
      <c r="M45" s="125"/>
    </row>
    <row r="46" spans="7:13" ht="15" customHeight="1" x14ac:dyDescent="0.2">
      <c r="G46" s="125"/>
      <c r="M46" s="125"/>
    </row>
    <row r="47" spans="7:13" ht="15" customHeight="1" x14ac:dyDescent="0.2">
      <c r="G47" s="125"/>
      <c r="M47" s="125"/>
    </row>
    <row r="48" spans="7:13" ht="15" customHeight="1" x14ac:dyDescent="0.2">
      <c r="G48" s="125"/>
      <c r="M48" s="125"/>
    </row>
    <row r="49" spans="7:13" ht="15" customHeight="1" x14ac:dyDescent="0.2">
      <c r="G49" s="125"/>
      <c r="M49" s="125"/>
    </row>
    <row r="50" spans="7:13" ht="15" customHeight="1" x14ac:dyDescent="0.2">
      <c r="G50" s="125"/>
      <c r="M50" s="125"/>
    </row>
    <row r="51" spans="7:13" ht="15" customHeight="1" x14ac:dyDescent="0.2">
      <c r="G51" s="125"/>
      <c r="M51" s="125"/>
    </row>
    <row r="52" spans="7:13" ht="15" customHeight="1" x14ac:dyDescent="0.2">
      <c r="G52" s="125"/>
      <c r="M52" s="125"/>
    </row>
    <row r="53" spans="7:13" ht="15" customHeight="1" x14ac:dyDescent="0.2">
      <c r="G53" s="125"/>
      <c r="M53" s="125"/>
    </row>
    <row r="54" spans="7:13" ht="15" customHeight="1" x14ac:dyDescent="0.2">
      <c r="G54" s="125"/>
      <c r="M54" s="125"/>
    </row>
    <row r="55" spans="7:13" ht="15" customHeight="1" x14ac:dyDescent="0.2">
      <c r="G55" s="125"/>
      <c r="M55" s="125"/>
    </row>
    <row r="56" spans="7:13" ht="15" customHeight="1" x14ac:dyDescent="0.2">
      <c r="G56" s="125"/>
      <c r="M56" s="125"/>
    </row>
    <row r="57" spans="7:13" ht="15" customHeight="1" x14ac:dyDescent="0.2">
      <c r="G57" s="125"/>
      <c r="M57" s="125"/>
    </row>
    <row r="58" spans="7:13" ht="15" customHeight="1" x14ac:dyDescent="0.2">
      <c r="G58" s="125"/>
      <c r="M58" s="125"/>
    </row>
    <row r="59" spans="7:13" ht="15" customHeight="1" x14ac:dyDescent="0.2">
      <c r="G59" s="125"/>
      <c r="M59" s="125"/>
    </row>
    <row r="60" spans="7:13" ht="15" customHeight="1" x14ac:dyDescent="0.2">
      <c r="G60" s="125"/>
      <c r="M60" s="125"/>
    </row>
    <row r="61" spans="7:13" ht="15" customHeight="1" x14ac:dyDescent="0.2">
      <c r="G61" s="125"/>
      <c r="M61" s="125"/>
    </row>
    <row r="62" spans="7:13" ht="15" customHeight="1" x14ac:dyDescent="0.2">
      <c r="G62" s="125"/>
      <c r="M62" s="125"/>
    </row>
    <row r="63" spans="7:13" ht="15" customHeight="1" x14ac:dyDescent="0.2">
      <c r="G63" s="125"/>
      <c r="M63" s="125"/>
    </row>
    <row r="64" spans="7:13" ht="15" customHeight="1" x14ac:dyDescent="0.2">
      <c r="G64" s="125"/>
      <c r="M64" s="125"/>
    </row>
    <row r="65" spans="7:13" ht="15" customHeight="1" x14ac:dyDescent="0.2">
      <c r="G65" s="125"/>
      <c r="M65" s="125"/>
    </row>
    <row r="66" spans="7:13" ht="15" customHeight="1" x14ac:dyDescent="0.2">
      <c r="G66" s="125"/>
      <c r="M66" s="125"/>
    </row>
    <row r="67" spans="7:13" ht="15" customHeight="1" x14ac:dyDescent="0.2">
      <c r="G67" s="125"/>
      <c r="M67" s="125"/>
    </row>
    <row r="68" spans="7:13" ht="15" customHeight="1" x14ac:dyDescent="0.2">
      <c r="G68" s="125"/>
      <c r="M68" s="125"/>
    </row>
    <row r="69" spans="7:13" ht="15" customHeight="1" x14ac:dyDescent="0.2">
      <c r="G69" s="125"/>
      <c r="M69" s="125"/>
    </row>
    <row r="70" spans="7:13" ht="15" customHeight="1" x14ac:dyDescent="0.2">
      <c r="G70" s="125"/>
      <c r="M70" s="125"/>
    </row>
    <row r="71" spans="7:13" ht="15" customHeight="1" x14ac:dyDescent="0.2">
      <c r="G71" s="125"/>
      <c r="M71" s="125"/>
    </row>
    <row r="72" spans="7:13" ht="15" customHeight="1" x14ac:dyDescent="0.2">
      <c r="G72" s="125"/>
      <c r="M72" s="125"/>
    </row>
    <row r="73" spans="7:13" ht="15" customHeight="1" x14ac:dyDescent="0.2">
      <c r="G73" s="125"/>
      <c r="M73" s="125"/>
    </row>
    <row r="74" spans="7:13" ht="15" customHeight="1" x14ac:dyDescent="0.2">
      <c r="G74" s="125"/>
      <c r="M74" s="125"/>
    </row>
    <row r="75" spans="7:13" ht="15" customHeight="1" x14ac:dyDescent="0.2">
      <c r="G75" s="125"/>
      <c r="M75" s="125"/>
    </row>
    <row r="76" spans="7:13" ht="15" customHeight="1" x14ac:dyDescent="0.2">
      <c r="G76" s="125"/>
      <c r="M76" s="125"/>
    </row>
    <row r="77" spans="7:13" ht="15" customHeight="1" x14ac:dyDescent="0.2">
      <c r="G77" s="125"/>
      <c r="M77" s="125"/>
    </row>
    <row r="78" spans="7:13" ht="15" customHeight="1" x14ac:dyDescent="0.2">
      <c r="G78" s="125"/>
      <c r="M78" s="125"/>
    </row>
    <row r="79" spans="7:13" ht="15" customHeight="1" x14ac:dyDescent="0.2">
      <c r="G79" s="125"/>
      <c r="M79" s="125"/>
    </row>
    <row r="80" spans="7:13" ht="15" customHeight="1" x14ac:dyDescent="0.2">
      <c r="G80" s="125"/>
      <c r="M80" s="125"/>
    </row>
    <row r="81" spans="7:13" ht="15" customHeight="1" x14ac:dyDescent="0.2">
      <c r="G81" s="125"/>
      <c r="M81" s="125"/>
    </row>
    <row r="82" spans="7:13" ht="15" customHeight="1" x14ac:dyDescent="0.2">
      <c r="G82" s="125"/>
      <c r="M82" s="125"/>
    </row>
    <row r="83" spans="7:13" ht="15" customHeight="1" x14ac:dyDescent="0.2">
      <c r="G83" s="125"/>
      <c r="M83" s="125"/>
    </row>
    <row r="84" spans="7:13" ht="15" customHeight="1" x14ac:dyDescent="0.2">
      <c r="G84" s="125"/>
      <c r="M84" s="125"/>
    </row>
    <row r="85" spans="7:13" ht="15" customHeight="1" x14ac:dyDescent="0.2">
      <c r="G85" s="125"/>
      <c r="M85" s="125"/>
    </row>
    <row r="86" spans="7:13" ht="15" customHeight="1" x14ac:dyDescent="0.2">
      <c r="G86" s="125"/>
      <c r="M86" s="125"/>
    </row>
    <row r="87" spans="7:13" ht="15" customHeight="1" x14ac:dyDescent="0.2">
      <c r="G87" s="125"/>
      <c r="M87" s="125"/>
    </row>
    <row r="88" spans="7:13" ht="15" customHeight="1" x14ac:dyDescent="0.2">
      <c r="G88" s="125"/>
      <c r="M88" s="125"/>
    </row>
    <row r="89" spans="7:13" ht="15" customHeight="1" x14ac:dyDescent="0.2">
      <c r="G89" s="125"/>
      <c r="M89" s="125"/>
    </row>
    <row r="90" spans="7:13" ht="15" customHeight="1" x14ac:dyDescent="0.2">
      <c r="G90" s="125"/>
      <c r="M90" s="125"/>
    </row>
    <row r="91" spans="7:13" ht="15" customHeight="1" x14ac:dyDescent="0.2">
      <c r="G91" s="125"/>
      <c r="M91" s="125"/>
    </row>
    <row r="92" spans="7:13" ht="15" customHeight="1" x14ac:dyDescent="0.2">
      <c r="G92" s="125"/>
      <c r="M92" s="125"/>
    </row>
    <row r="93" spans="7:13" ht="15" customHeight="1" x14ac:dyDescent="0.2">
      <c r="G93" s="125"/>
      <c r="M93" s="125"/>
    </row>
    <row r="94" spans="7:13" ht="15" customHeight="1" x14ac:dyDescent="0.2">
      <c r="G94" s="125"/>
      <c r="M94" s="125"/>
    </row>
    <row r="95" spans="7:13" ht="15" customHeight="1" x14ac:dyDescent="0.2">
      <c r="G95" s="125"/>
      <c r="M95" s="125"/>
    </row>
    <row r="96" spans="7:13" ht="15" customHeight="1" x14ac:dyDescent="0.2">
      <c r="G96" s="125"/>
      <c r="M96" s="125"/>
    </row>
    <row r="97" spans="7:13" ht="15" customHeight="1" x14ac:dyDescent="0.2">
      <c r="G97" s="125"/>
      <c r="M97" s="125"/>
    </row>
    <row r="98" spans="7:13" ht="15" customHeight="1" x14ac:dyDescent="0.2">
      <c r="G98" s="125"/>
      <c r="M98" s="125"/>
    </row>
    <row r="99" spans="7:13" ht="15" customHeight="1" x14ac:dyDescent="0.2">
      <c r="G99" s="125"/>
      <c r="M99" s="125"/>
    </row>
    <row r="100" spans="7:13" ht="15" customHeight="1" x14ac:dyDescent="0.2">
      <c r="G100" s="125"/>
      <c r="M100" s="125"/>
    </row>
    <row r="101" spans="7:13" ht="15" customHeight="1" x14ac:dyDescent="0.2">
      <c r="G101" s="125"/>
      <c r="M101" s="125"/>
    </row>
    <row r="102" spans="7:13" ht="15" customHeight="1" x14ac:dyDescent="0.2">
      <c r="G102" s="125"/>
      <c r="M102" s="125"/>
    </row>
    <row r="103" spans="7:13" ht="15" customHeight="1" x14ac:dyDescent="0.2">
      <c r="G103" s="125"/>
      <c r="M103" s="125"/>
    </row>
    <row r="104" spans="7:13" ht="15" customHeight="1" x14ac:dyDescent="0.2">
      <c r="G104" s="125"/>
      <c r="M104" s="125"/>
    </row>
    <row r="105" spans="7:13" ht="15" customHeight="1" x14ac:dyDescent="0.2">
      <c r="G105" s="125"/>
      <c r="M105" s="125"/>
    </row>
    <row r="106" spans="7:13" ht="15" customHeight="1" x14ac:dyDescent="0.2">
      <c r="G106" s="125"/>
      <c r="M106" s="125"/>
    </row>
    <row r="107" spans="7:13" ht="15" customHeight="1" x14ac:dyDescent="0.2">
      <c r="G107" s="125"/>
      <c r="M107" s="125"/>
    </row>
    <row r="108" spans="7:13" ht="15" customHeight="1" x14ac:dyDescent="0.2">
      <c r="G108" s="125"/>
      <c r="M108" s="125"/>
    </row>
    <row r="109" spans="7:13" ht="15" customHeight="1" x14ac:dyDescent="0.2">
      <c r="G109" s="125"/>
      <c r="M109" s="125"/>
    </row>
    <row r="110" spans="7:13" ht="15" customHeight="1" x14ac:dyDescent="0.2">
      <c r="G110" s="125"/>
      <c r="M110" s="125"/>
    </row>
    <row r="111" spans="7:13" ht="15" customHeight="1" x14ac:dyDescent="0.2">
      <c r="G111" s="125"/>
      <c r="M111" s="125"/>
    </row>
    <row r="112" spans="7:13" ht="15" customHeight="1" x14ac:dyDescent="0.2">
      <c r="G112" s="125"/>
      <c r="M112" s="125"/>
    </row>
    <row r="113" spans="7:13" ht="15" customHeight="1" x14ac:dyDescent="0.2">
      <c r="G113" s="125"/>
      <c r="M113" s="125"/>
    </row>
    <row r="114" spans="7:13" ht="15" customHeight="1" x14ac:dyDescent="0.2">
      <c r="G114" s="125"/>
      <c r="M114" s="125"/>
    </row>
    <row r="115" spans="7:13" ht="15" customHeight="1" x14ac:dyDescent="0.2">
      <c r="G115" s="125"/>
      <c r="M115" s="125"/>
    </row>
    <row r="116" spans="7:13" ht="15" customHeight="1" x14ac:dyDescent="0.2">
      <c r="G116" s="125"/>
      <c r="M116" s="125"/>
    </row>
  </sheetData>
  <sheetProtection password="C66B" sheet="1" objects="1" scenarios="1" selectLockedCells="1"/>
  <mergeCells count="3">
    <mergeCell ref="B1:F1"/>
    <mergeCell ref="H1:L1"/>
    <mergeCell ref="N1:Q1"/>
  </mergeCells>
  <printOptions horizontalCentered="1"/>
  <pageMargins left="0.5" right="0.5" top="0.94937499999999997" bottom="0.5" header="0" footer="0"/>
  <pageSetup scale="87" orientation="portrait" verticalDpi="2048" r:id="rId1"/>
  <headerFooter alignWithMargins="0">
    <oddHeader>&amp;L&amp;G&amp;C&amp;"Calibri,Bold"Performance Outcome Calculator:
FREE ENTRY CALCULATOR&amp;R&amp;G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4" manualBreakCount="4">
    <brk id="24" max="16383" man="1"/>
    <brk id="69" min="7" max="11" man="1"/>
    <brk id="69" max="5" man="1"/>
    <brk id="69"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Label 1">
              <controlPr defaultSize="0" autoFill="0" autoLine="0" autoPict="0">
                <anchor moveWithCells="1" sizeWithCells="1">
                  <from>
                    <xdr:col>4</xdr:col>
                    <xdr:colOff>962025</xdr:colOff>
                    <xdr:row>24</xdr:row>
                    <xdr:rowOff>152400</xdr:rowOff>
                  </from>
                  <to>
                    <xdr:col>5</xdr:col>
                    <xdr:colOff>866775</xdr:colOff>
                    <xdr:row>26</xdr:row>
                    <xdr:rowOff>76200</xdr:rowOff>
                  </to>
                </anchor>
              </controlPr>
            </control>
          </mc:Choice>
        </mc:AlternateContent>
        <mc:AlternateContent xmlns:mc="http://schemas.openxmlformats.org/markup-compatibility/2006">
          <mc:Choice Requires="x14">
            <control shapeId="22530" r:id="rId6" name="Label 2">
              <controlPr defaultSize="0" autoFill="0" autoLine="0" autoPict="0">
                <anchor moveWithCells="1" sizeWithCells="1">
                  <from>
                    <xdr:col>4</xdr:col>
                    <xdr:colOff>885825</xdr:colOff>
                    <xdr:row>40</xdr:row>
                    <xdr:rowOff>104775</xdr:rowOff>
                  </from>
                  <to>
                    <xdr:col>5</xdr:col>
                    <xdr:colOff>800100</xdr:colOff>
                    <xdr:row>41</xdr:row>
                    <xdr:rowOff>171450</xdr:rowOff>
                  </to>
                </anchor>
              </controlPr>
            </control>
          </mc:Choice>
        </mc:AlternateContent>
        <mc:AlternateContent xmlns:mc="http://schemas.openxmlformats.org/markup-compatibility/2006">
          <mc:Choice Requires="x14">
            <control shapeId="22531" r:id="rId7" name="Label 3">
              <controlPr defaultSize="0" autoFill="0" autoLine="0" autoPict="0">
                <anchor moveWithCells="1" sizeWithCells="1">
                  <from>
                    <xdr:col>10</xdr:col>
                    <xdr:colOff>971550</xdr:colOff>
                    <xdr:row>24</xdr:row>
                    <xdr:rowOff>123825</xdr:rowOff>
                  </from>
                  <to>
                    <xdr:col>11</xdr:col>
                    <xdr:colOff>866775</xdr:colOff>
                    <xdr:row>26</xdr:row>
                    <xdr:rowOff>47625</xdr:rowOff>
                  </to>
                </anchor>
              </controlPr>
            </control>
          </mc:Choice>
        </mc:AlternateContent>
        <mc:AlternateContent xmlns:mc="http://schemas.openxmlformats.org/markup-compatibility/2006">
          <mc:Choice Requires="x14">
            <control shapeId="22532" r:id="rId8" name="Label 4">
              <controlPr defaultSize="0" autoFill="0" autoLine="0" autoPict="0">
                <anchor moveWithCells="1" sizeWithCells="1">
                  <from>
                    <xdr:col>10</xdr:col>
                    <xdr:colOff>952500</xdr:colOff>
                    <xdr:row>40</xdr:row>
                    <xdr:rowOff>85725</xdr:rowOff>
                  </from>
                  <to>
                    <xdr:col>11</xdr:col>
                    <xdr:colOff>942975</xdr:colOff>
                    <xdr:row>41</xdr:row>
                    <xdr:rowOff>142875</xdr:rowOff>
                  </to>
                </anchor>
              </controlPr>
            </control>
          </mc:Choice>
        </mc:AlternateContent>
        <mc:AlternateContent xmlns:mc="http://schemas.openxmlformats.org/markup-compatibility/2006">
          <mc:Choice Requires="x14">
            <control shapeId="22533" r:id="rId9" name="Label 5">
              <controlPr defaultSize="0" autoFill="0" autoLine="0" autoPict="0">
                <anchor moveWithCells="1" sizeWithCells="1">
                  <from>
                    <xdr:col>15</xdr:col>
                    <xdr:colOff>942975</xdr:colOff>
                    <xdr:row>24</xdr:row>
                    <xdr:rowOff>180975</xdr:rowOff>
                  </from>
                  <to>
                    <xdr:col>16</xdr:col>
                    <xdr:colOff>866775</xdr:colOff>
                    <xdr:row>26</xdr:row>
                    <xdr:rowOff>66675</xdr:rowOff>
                  </to>
                </anchor>
              </controlPr>
            </control>
          </mc:Choice>
        </mc:AlternateContent>
        <mc:AlternateContent xmlns:mc="http://schemas.openxmlformats.org/markup-compatibility/2006">
          <mc:Choice Requires="x14">
            <control shapeId="22534" r:id="rId10" name="Label 6">
              <controlPr defaultSize="0" autoFill="0" autoLine="0" autoPict="0">
                <anchor moveWithCells="1" sizeWithCells="1">
                  <from>
                    <xdr:col>15</xdr:col>
                    <xdr:colOff>990600</xdr:colOff>
                    <xdr:row>40</xdr:row>
                    <xdr:rowOff>38100</xdr:rowOff>
                  </from>
                  <to>
                    <xdr:col>16</xdr:col>
                    <xdr:colOff>923925</xdr:colOff>
                    <xdr:row>41</xdr:row>
                    <xdr:rowOff>142875</xdr:rowOff>
                  </to>
                </anchor>
              </controlPr>
            </control>
          </mc:Choice>
        </mc:AlternateContent>
        <mc:AlternateContent xmlns:mc="http://schemas.openxmlformats.org/markup-compatibility/2006">
          <mc:Choice Requires="x14">
            <control shapeId="22535" r:id="rId11" name="Label 7">
              <controlPr defaultSize="0" autoFill="0" autoLine="0" autoPict="0">
                <anchor moveWithCells="1" sizeWithCells="1">
                  <from>
                    <xdr:col>2</xdr:col>
                    <xdr:colOff>76200</xdr:colOff>
                    <xdr:row>50</xdr:row>
                    <xdr:rowOff>152400</xdr:rowOff>
                  </from>
                  <to>
                    <xdr:col>4</xdr:col>
                    <xdr:colOff>857250</xdr:colOff>
                    <xdr:row>55</xdr:row>
                    <xdr:rowOff>104775</xdr:rowOff>
                  </to>
                </anchor>
              </controlPr>
            </control>
          </mc:Choice>
        </mc:AlternateContent>
        <mc:AlternateContent xmlns:mc="http://schemas.openxmlformats.org/markup-compatibility/2006">
          <mc:Choice Requires="x14">
            <control shapeId="22536" r:id="rId12" name="Label 8">
              <controlPr defaultSize="0" autoFill="0" autoLine="0" autoPict="0">
                <anchor moveWithCells="1" sizeWithCells="1">
                  <from>
                    <xdr:col>7</xdr:col>
                    <xdr:colOff>752475</xdr:colOff>
                    <xdr:row>50</xdr:row>
                    <xdr:rowOff>161925</xdr:rowOff>
                  </from>
                  <to>
                    <xdr:col>10</xdr:col>
                    <xdr:colOff>66675</xdr:colOff>
                    <xdr:row>55</xdr:row>
                    <xdr:rowOff>66675</xdr:rowOff>
                  </to>
                </anchor>
              </controlPr>
            </control>
          </mc:Choice>
        </mc:AlternateContent>
        <mc:AlternateContent xmlns:mc="http://schemas.openxmlformats.org/markup-compatibility/2006">
          <mc:Choice Requires="x14">
            <control shapeId="22537" r:id="rId13" name="Label 9">
              <controlPr defaultSize="0" autoFill="0" autoLine="0" autoPict="0">
                <anchor moveWithCells="1" sizeWithCells="1">
                  <from>
                    <xdr:col>12</xdr:col>
                    <xdr:colOff>114300</xdr:colOff>
                    <xdr:row>50</xdr:row>
                    <xdr:rowOff>66675</xdr:rowOff>
                  </from>
                  <to>
                    <xdr:col>14</xdr:col>
                    <xdr:colOff>971550</xdr:colOff>
                    <xdr:row>55</xdr:row>
                    <xdr:rowOff>76200</xdr:rowOff>
                  </to>
                </anchor>
              </controlPr>
            </control>
          </mc:Choice>
        </mc:AlternateContent>
        <mc:AlternateContent xmlns:mc="http://schemas.openxmlformats.org/markup-compatibility/2006">
          <mc:Choice Requires="x14">
            <control shapeId="22538" r:id="rId14" name="Label 10">
              <controlPr defaultSize="0" autoFill="0" autoLine="0" autoPict="0">
                <anchor moveWithCells="1" sizeWithCells="1">
                  <from>
                    <xdr:col>1</xdr:col>
                    <xdr:colOff>1095375</xdr:colOff>
                    <xdr:row>63</xdr:row>
                    <xdr:rowOff>28575</xdr:rowOff>
                  </from>
                  <to>
                    <xdr:col>4</xdr:col>
                    <xdr:colOff>990600</xdr:colOff>
                    <xdr:row>68</xdr:row>
                    <xdr:rowOff>28575</xdr:rowOff>
                  </to>
                </anchor>
              </controlPr>
            </control>
          </mc:Choice>
        </mc:AlternateContent>
        <mc:AlternateContent xmlns:mc="http://schemas.openxmlformats.org/markup-compatibility/2006">
          <mc:Choice Requires="x14">
            <control shapeId="22539" r:id="rId15" name="Label 11">
              <controlPr defaultSize="0" autoFill="0" autoLine="0" autoPict="0">
                <anchor moveWithCells="1" sizeWithCells="1">
                  <from>
                    <xdr:col>4</xdr:col>
                    <xdr:colOff>1123950</xdr:colOff>
                    <xdr:row>70</xdr:row>
                    <xdr:rowOff>38100</xdr:rowOff>
                  </from>
                  <to>
                    <xdr:col>5</xdr:col>
                    <xdr:colOff>847725</xdr:colOff>
                    <xdr:row>71</xdr:row>
                    <xdr:rowOff>104775</xdr:rowOff>
                  </to>
                </anchor>
              </controlPr>
            </control>
          </mc:Choice>
        </mc:AlternateContent>
        <mc:AlternateContent xmlns:mc="http://schemas.openxmlformats.org/markup-compatibility/2006">
          <mc:Choice Requires="x14">
            <control shapeId="22540" r:id="rId16" name="Label 12">
              <controlPr defaultSize="0" autoFill="0" autoLine="0" autoPict="0">
                <anchor moveWithCells="1" sizeWithCells="1">
                  <from>
                    <xdr:col>10</xdr:col>
                    <xdr:colOff>1219200</xdr:colOff>
                    <xdr:row>70</xdr:row>
                    <xdr:rowOff>38100</xdr:rowOff>
                  </from>
                  <to>
                    <xdr:col>11</xdr:col>
                    <xdr:colOff>1028700</xdr:colOff>
                    <xdr:row>71</xdr:row>
                    <xdr:rowOff>66675</xdr:rowOff>
                  </to>
                </anchor>
              </controlPr>
            </control>
          </mc:Choice>
        </mc:AlternateContent>
        <mc:AlternateContent xmlns:mc="http://schemas.openxmlformats.org/markup-compatibility/2006">
          <mc:Choice Requires="x14">
            <control shapeId="22541" r:id="rId17" name="Label 13">
              <controlPr defaultSize="0" autoFill="0" autoLine="0" autoPict="0">
                <anchor moveWithCells="1" sizeWithCells="1">
                  <from>
                    <xdr:col>7</xdr:col>
                    <xdr:colOff>723900</xdr:colOff>
                    <xdr:row>62</xdr:row>
                    <xdr:rowOff>142875</xdr:rowOff>
                  </from>
                  <to>
                    <xdr:col>10</xdr:col>
                    <xdr:colOff>190500</xdr:colOff>
                    <xdr:row>68</xdr:row>
                    <xdr:rowOff>57150</xdr:rowOff>
                  </to>
                </anchor>
              </controlPr>
            </control>
          </mc:Choice>
        </mc:AlternateContent>
        <mc:AlternateContent xmlns:mc="http://schemas.openxmlformats.org/markup-compatibility/2006">
          <mc:Choice Requires="x14">
            <control shapeId="22542" r:id="rId18" name="Label 14">
              <controlPr defaultSize="0" autoFill="0" autoLine="0" autoPict="0">
                <anchor moveWithCells="1" sizeWithCells="1">
                  <from>
                    <xdr:col>11</xdr:col>
                    <xdr:colOff>1304925</xdr:colOff>
                    <xdr:row>62</xdr:row>
                    <xdr:rowOff>180975</xdr:rowOff>
                  </from>
                  <to>
                    <xdr:col>14</xdr:col>
                    <xdr:colOff>819150</xdr:colOff>
                    <xdr:row>68</xdr:row>
                    <xdr:rowOff>28575</xdr:rowOff>
                  </to>
                </anchor>
              </controlPr>
            </control>
          </mc:Choice>
        </mc:AlternateContent>
        <mc:AlternateContent xmlns:mc="http://schemas.openxmlformats.org/markup-compatibility/2006">
          <mc:Choice Requires="x14">
            <control shapeId="22543" r:id="rId19" name="Label 15">
              <controlPr defaultSize="0" autoFill="0" autoLine="0" autoPict="0">
                <anchor moveWithCells="1" sizeWithCells="1">
                  <from>
                    <xdr:col>15</xdr:col>
                    <xdr:colOff>1104900</xdr:colOff>
                    <xdr:row>70</xdr:row>
                    <xdr:rowOff>47625</xdr:rowOff>
                  </from>
                  <to>
                    <xdr:col>16</xdr:col>
                    <xdr:colOff>904875</xdr:colOff>
                    <xdr:row>71</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CP146"/>
  <sheetViews>
    <sheetView zoomScaleNormal="100" workbookViewId="0">
      <pane ySplit="1" topLeftCell="A2" activePane="bottomLeft" state="frozen"/>
      <selection pane="bottomLeft" activeCell="J26" sqref="J26:J29"/>
    </sheetView>
  </sheetViews>
  <sheetFormatPr defaultColWidth="8.796875" defaultRowHeight="16.5" customHeight="1" x14ac:dyDescent="0.2"/>
  <cols>
    <col min="1" max="2" width="7.09765625" style="15" customWidth="1"/>
    <col min="3" max="3" width="17.69921875" style="15" customWidth="1"/>
    <col min="4" max="10" width="9" style="15" customWidth="1"/>
    <col min="11" max="11" width="2.69921875" customWidth="1"/>
    <col min="12" max="12" width="7.09765625" style="15" customWidth="1"/>
    <col min="13" max="13" width="17.69921875" style="15" customWidth="1"/>
    <col min="14" max="24" width="8.796875" style="15" customWidth="1"/>
    <col min="25" max="25" width="2.69921875" style="15" customWidth="1"/>
    <col min="26" max="26" width="8.796875" style="15" customWidth="1"/>
    <col min="27" max="27" width="17.69921875" style="15" customWidth="1"/>
    <col min="28" max="39" width="8.796875" style="15" customWidth="1"/>
    <col min="40" max="40" width="2.69921875" customWidth="1"/>
    <col min="41" max="41" width="8.796875" customWidth="1"/>
    <col min="42" max="42" width="11.69921875" customWidth="1"/>
    <col min="43" max="54" width="8.796875" customWidth="1"/>
    <col min="55" max="55" width="2.59765625" style="15" customWidth="1"/>
    <col min="56" max="56" width="8.796875" style="15"/>
    <col min="57" max="57" width="17.69921875" style="15" customWidth="1"/>
    <col min="58" max="69" width="8.796875" style="15"/>
    <col min="70" max="70" width="2.59765625" style="15" customWidth="1"/>
    <col min="71" max="71" width="8.796875" style="15" customWidth="1"/>
    <col min="72" max="72" width="18" style="15" bestFit="1" customWidth="1"/>
    <col min="73" max="84" width="8.796875" style="15" customWidth="1"/>
    <col min="85" max="85" width="2.59765625" style="15" customWidth="1"/>
    <col min="86" max="86" width="17.5" style="15" customWidth="1"/>
    <col min="87" max="87" width="19.19921875" style="15" customWidth="1"/>
    <col min="88" max="88" width="17.09765625" style="15" customWidth="1"/>
    <col min="89" max="89" width="14.8984375" style="15" customWidth="1"/>
    <col min="90" max="90" width="2.59765625" style="15" customWidth="1"/>
    <col min="91" max="91" width="8.796875" style="15" customWidth="1"/>
    <col min="92" max="92" width="16.296875" style="15" customWidth="1"/>
    <col min="93" max="93" width="14.796875" style="15" customWidth="1"/>
    <col min="94" max="94" width="12" style="15" customWidth="1"/>
    <col min="95" max="95" width="8.796875" style="15" customWidth="1"/>
    <col min="96" max="16384" width="8.796875" style="15"/>
  </cols>
  <sheetData>
    <row r="1" spans="1:94" ht="16.5" customHeight="1" x14ac:dyDescent="0.2">
      <c r="A1" s="69" t="s">
        <v>56</v>
      </c>
      <c r="B1"/>
      <c r="C1" s="24" t="s">
        <v>41</v>
      </c>
      <c r="M1" s="24" t="s">
        <v>46</v>
      </c>
      <c r="AA1" s="24" t="s">
        <v>86</v>
      </c>
      <c r="AO1" s="24" t="s">
        <v>87</v>
      </c>
      <c r="BD1" s="24" t="s">
        <v>92</v>
      </c>
      <c r="BS1" s="24" t="s">
        <v>91</v>
      </c>
      <c r="CH1" s="24" t="s">
        <v>65</v>
      </c>
      <c r="CM1" s="24" t="s">
        <v>72</v>
      </c>
    </row>
    <row r="2" spans="1:94" ht="16.5" customHeight="1" x14ac:dyDescent="0.25">
      <c r="A2" s="70" t="s">
        <v>57</v>
      </c>
      <c r="B2"/>
    </row>
    <row r="3" spans="1:94" s="14" customFormat="1" ht="16.5" customHeight="1" x14ac:dyDescent="0.25">
      <c r="A3" s="70" t="s">
        <v>78</v>
      </c>
      <c r="B3" s="32"/>
      <c r="D3" s="516" t="s">
        <v>13</v>
      </c>
      <c r="E3" s="516"/>
      <c r="F3" s="516"/>
      <c r="G3" s="515" t="s">
        <v>38</v>
      </c>
      <c r="H3" s="516" t="s">
        <v>42</v>
      </c>
      <c r="I3" s="516"/>
      <c r="J3" s="516"/>
      <c r="K3"/>
      <c r="N3" s="513" t="s">
        <v>13</v>
      </c>
      <c r="O3" s="513"/>
      <c r="P3" s="513"/>
      <c r="Q3" s="513"/>
      <c r="R3" s="513"/>
      <c r="S3" s="513"/>
      <c r="T3" s="514" t="s">
        <v>14</v>
      </c>
      <c r="U3" s="514"/>
      <c r="V3" s="514"/>
      <c r="W3" s="514"/>
      <c r="X3" s="514"/>
      <c r="AB3" s="505" t="s">
        <v>13</v>
      </c>
      <c r="AC3" s="506"/>
      <c r="AD3" s="506"/>
      <c r="AE3" s="506"/>
      <c r="AF3" s="506"/>
      <c r="AG3" s="506"/>
      <c r="AH3" s="507"/>
      <c r="AI3" s="501" t="s">
        <v>14</v>
      </c>
      <c r="AJ3" s="502"/>
      <c r="AK3" s="502"/>
      <c r="AL3" s="502"/>
      <c r="AM3" s="503"/>
      <c r="AN3"/>
      <c r="AO3" s="32"/>
      <c r="AP3" s="32"/>
      <c r="AQ3" s="508" t="s">
        <v>13</v>
      </c>
      <c r="AR3" s="509"/>
      <c r="AS3" s="509"/>
      <c r="AT3" s="509"/>
      <c r="AU3" s="509"/>
      <c r="AV3" s="509"/>
      <c r="AW3" s="510"/>
      <c r="AX3" s="501" t="s">
        <v>14</v>
      </c>
      <c r="AY3" s="502"/>
      <c r="AZ3" s="502"/>
      <c r="BA3" s="502"/>
      <c r="BB3" s="503"/>
      <c r="BE3" s="1"/>
      <c r="BF3" s="504" t="s">
        <v>13</v>
      </c>
      <c r="BG3" s="500"/>
      <c r="BH3" s="500" t="s">
        <v>31</v>
      </c>
      <c r="BI3" s="500"/>
      <c r="BJ3" s="500"/>
      <c r="BK3" s="500"/>
      <c r="BL3" s="100" t="s">
        <v>14</v>
      </c>
      <c r="BM3" s="100"/>
      <c r="BN3" s="100"/>
      <c r="BO3" s="100"/>
      <c r="BP3" s="100"/>
      <c r="BQ3" s="100"/>
      <c r="BS3" s="32"/>
      <c r="BT3" s="1"/>
      <c r="BU3" s="504" t="s">
        <v>13</v>
      </c>
      <c r="BV3" s="500"/>
      <c r="BW3" s="500" t="s">
        <v>31</v>
      </c>
      <c r="BX3" s="500"/>
      <c r="BY3" s="500"/>
      <c r="BZ3" s="500"/>
      <c r="CA3" s="500" t="s">
        <v>14</v>
      </c>
      <c r="CB3" s="500"/>
      <c r="CC3" s="500"/>
      <c r="CD3" s="500"/>
      <c r="CE3" s="500"/>
      <c r="CF3" s="500"/>
      <c r="CG3" s="32"/>
      <c r="CH3" s="274" t="s">
        <v>15</v>
      </c>
      <c r="CI3" s="274" t="s">
        <v>127</v>
      </c>
      <c r="CJ3" s="274" t="s">
        <v>128</v>
      </c>
      <c r="CK3" s="274" t="s">
        <v>129</v>
      </c>
      <c r="CL3" s="1"/>
      <c r="CM3" s="108" t="s">
        <v>15</v>
      </c>
      <c r="CN3" s="108" t="s">
        <v>73</v>
      </c>
      <c r="CO3" s="108" t="s">
        <v>74</v>
      </c>
      <c r="CP3" s="108" t="s">
        <v>75</v>
      </c>
    </row>
    <row r="4" spans="1:94" s="14" customFormat="1" ht="16.5" customHeight="1" x14ac:dyDescent="0.25">
      <c r="A4" s="70" t="s">
        <v>79</v>
      </c>
      <c r="B4" s="32"/>
      <c r="C4" s="18" t="s">
        <v>15</v>
      </c>
      <c r="D4" s="18" t="s">
        <v>35</v>
      </c>
      <c r="E4" s="44" t="s">
        <v>94</v>
      </c>
      <c r="F4" s="147" t="s">
        <v>96</v>
      </c>
      <c r="G4" s="515"/>
      <c r="H4" s="18" t="s">
        <v>35</v>
      </c>
      <c r="I4" s="44" t="s">
        <v>94</v>
      </c>
      <c r="J4" s="18" t="s">
        <v>25</v>
      </c>
      <c r="K4"/>
      <c r="M4" s="25" t="s">
        <v>15</v>
      </c>
      <c r="N4" s="44" t="s">
        <v>47</v>
      </c>
      <c r="O4" s="44" t="s">
        <v>16</v>
      </c>
      <c r="P4" s="44" t="s">
        <v>48</v>
      </c>
      <c r="Q4" s="44" t="s">
        <v>27</v>
      </c>
      <c r="R4" s="44" t="s">
        <v>94</v>
      </c>
      <c r="S4" s="147" t="s">
        <v>96</v>
      </c>
      <c r="T4" s="38" t="s">
        <v>29</v>
      </c>
      <c r="U4" s="44" t="s">
        <v>16</v>
      </c>
      <c r="V4" s="44" t="s">
        <v>48</v>
      </c>
      <c r="W4" s="44" t="s">
        <v>81</v>
      </c>
      <c r="X4" s="147" t="s">
        <v>96</v>
      </c>
      <c r="AA4" s="25" t="s">
        <v>15</v>
      </c>
      <c r="AB4" s="50" t="s">
        <v>47</v>
      </c>
      <c r="AC4" s="50" t="s">
        <v>16</v>
      </c>
      <c r="AD4" s="51" t="s">
        <v>51</v>
      </c>
      <c r="AE4" s="51" t="s">
        <v>53</v>
      </c>
      <c r="AF4" s="51" t="s">
        <v>36</v>
      </c>
      <c r="AG4" s="51" t="s">
        <v>37</v>
      </c>
      <c r="AH4" s="51" t="s">
        <v>53</v>
      </c>
      <c r="AI4" s="26" t="s">
        <v>52</v>
      </c>
      <c r="AJ4" s="51" t="s">
        <v>51</v>
      </c>
      <c r="AK4" s="51" t="s">
        <v>95</v>
      </c>
      <c r="AL4" s="51" t="s">
        <v>36</v>
      </c>
      <c r="AM4" s="51" t="s">
        <v>37</v>
      </c>
      <c r="AN4"/>
      <c r="AO4" s="32"/>
      <c r="AP4" s="109" t="s">
        <v>15</v>
      </c>
      <c r="AQ4" s="50" t="s">
        <v>47</v>
      </c>
      <c r="AR4" s="50" t="s">
        <v>16</v>
      </c>
      <c r="AS4" s="51" t="s">
        <v>51</v>
      </c>
      <c r="AT4" s="51" t="s">
        <v>53</v>
      </c>
      <c r="AU4" s="51" t="s">
        <v>36</v>
      </c>
      <c r="AV4" s="147" t="s">
        <v>96</v>
      </c>
      <c r="AW4" s="51" t="s">
        <v>52</v>
      </c>
      <c r="AX4" s="110" t="s">
        <v>53</v>
      </c>
      <c r="AY4" s="51" t="s">
        <v>51</v>
      </c>
      <c r="AZ4" s="51" t="s">
        <v>85</v>
      </c>
      <c r="BA4" s="51" t="s">
        <v>36</v>
      </c>
      <c r="BB4" s="51" t="s">
        <v>37</v>
      </c>
      <c r="BE4" s="25" t="s">
        <v>15</v>
      </c>
      <c r="BF4" s="51" t="s">
        <v>94</v>
      </c>
      <c r="BG4" s="51" t="s">
        <v>93</v>
      </c>
      <c r="BH4" s="9" t="s">
        <v>35</v>
      </c>
      <c r="BI4" s="9" t="s">
        <v>27</v>
      </c>
      <c r="BJ4" s="9" t="s">
        <v>52</v>
      </c>
      <c r="BK4" s="9" t="s">
        <v>53</v>
      </c>
      <c r="BL4" s="101" t="s">
        <v>47</v>
      </c>
      <c r="BM4" s="101" t="s">
        <v>48</v>
      </c>
      <c r="BN4" s="101" t="s">
        <v>16</v>
      </c>
      <c r="BO4" s="101" t="s">
        <v>51</v>
      </c>
      <c r="BP4" s="101" t="s">
        <v>63</v>
      </c>
      <c r="BQ4" s="51" t="s">
        <v>93</v>
      </c>
      <c r="BS4" s="32"/>
      <c r="BT4" s="147" t="s">
        <v>15</v>
      </c>
      <c r="BU4" s="51" t="s">
        <v>94</v>
      </c>
      <c r="BV4" s="51" t="s">
        <v>93</v>
      </c>
      <c r="BW4" s="9" t="s">
        <v>35</v>
      </c>
      <c r="BX4" s="9" t="s">
        <v>27</v>
      </c>
      <c r="BY4" s="9" t="s">
        <v>52</v>
      </c>
      <c r="BZ4" s="9" t="s">
        <v>53</v>
      </c>
      <c r="CA4" s="101" t="s">
        <v>47</v>
      </c>
      <c r="CB4" s="101" t="s">
        <v>48</v>
      </c>
      <c r="CC4" s="101" t="s">
        <v>16</v>
      </c>
      <c r="CD4" s="101" t="s">
        <v>51</v>
      </c>
      <c r="CE4" s="101" t="s">
        <v>63</v>
      </c>
      <c r="CF4" s="51" t="s">
        <v>93</v>
      </c>
      <c r="CG4" s="32"/>
      <c r="CH4" s="27" t="s">
        <v>12</v>
      </c>
      <c r="CI4" s="52">
        <f>'4.Current Outcomes'!D5</f>
        <v>47.096774193548384</v>
      </c>
      <c r="CJ4" s="52">
        <f>'4.Current Outcomes'!J5</f>
        <v>76.395348837209298</v>
      </c>
      <c r="CK4" s="52">
        <f>'4.Current Outcomes'!P5</f>
        <v>53.459595959595958</v>
      </c>
      <c r="CL4" s="17"/>
      <c r="CM4" s="27" t="s">
        <v>4</v>
      </c>
      <c r="CN4" s="28">
        <f>IF('2.Data Input'!C$8=0,NA(),'2.Data Input'!C$8)</f>
        <v>2000000</v>
      </c>
      <c r="CO4" s="28">
        <f>IF('2.Data Input'!C$9=0,NA(),'2.Data Input'!C$9)</f>
        <v>1200000</v>
      </c>
      <c r="CP4" s="28">
        <f>SUMIF(CN4:CO4,"&lt;&gt;"&amp;"#N/A")</f>
        <v>3200000</v>
      </c>
    </row>
    <row r="5" spans="1:94" ht="16.5" customHeight="1" x14ac:dyDescent="0.2">
      <c r="B5" s="497" t="s">
        <v>303</v>
      </c>
      <c r="C5" s="27" t="s">
        <v>12</v>
      </c>
      <c r="D5" s="28">
        <f>'2.Data Input'!C8</f>
        <v>2000000</v>
      </c>
      <c r="E5" s="29">
        <f>'2.Data Input'!C17</f>
        <v>265</v>
      </c>
      <c r="F5" s="30">
        <f>IFERROR(D5/E5,0)</f>
        <v>7547.1698113207549</v>
      </c>
      <c r="G5" s="91">
        <f>'8.Change Investments'!E4</f>
        <v>0</v>
      </c>
      <c r="H5" s="28">
        <f>D5+G5</f>
        <v>2000000</v>
      </c>
      <c r="I5" s="16">
        <f>IFERROR(IF(H5="","",IF(H5=0,0,H5/F5)),"")</f>
        <v>265</v>
      </c>
      <c r="J5" s="16" t="s">
        <v>19</v>
      </c>
      <c r="L5" s="497" t="s">
        <v>303</v>
      </c>
      <c r="M5" s="27" t="s">
        <v>12</v>
      </c>
      <c r="N5" s="8">
        <f>'2.Data Input'!C5</f>
        <v>200</v>
      </c>
      <c r="O5" s="8">
        <f>'2.Data Input'!C11</f>
        <v>1550</v>
      </c>
      <c r="P5" s="21">
        <f>IFERROR(O5/N5,0)</f>
        <v>7.75</v>
      </c>
      <c r="Q5" s="20">
        <f>IFERROR(365/P5,0)</f>
        <v>47.096774193548384</v>
      </c>
      <c r="R5" s="8">
        <f>'2.Data Input'!C17</f>
        <v>265</v>
      </c>
      <c r="S5" s="45">
        <f>F5</f>
        <v>7547.1698113207549</v>
      </c>
      <c r="T5" s="66">
        <f>IF('7.Change LOS'!E4="",Formulas!Q5,'7.Change LOS'!E4)</f>
        <v>47.096774193548384</v>
      </c>
      <c r="U5" s="8">
        <f>V5*N5</f>
        <v>1550.0000000000002</v>
      </c>
      <c r="V5" s="21">
        <f>IFERROR(365/T5,P5)</f>
        <v>7.7500000000000009</v>
      </c>
      <c r="W5" s="20">
        <f>U5*'2.Data Input'!C20</f>
        <v>265</v>
      </c>
      <c r="X5" s="7">
        <f>IFERROR('2.Data Input'!C8/Formulas!W5,0)</f>
        <v>7547.1698113207549</v>
      </c>
      <c r="Z5" s="497" t="s">
        <v>303</v>
      </c>
      <c r="AA5" s="27" t="s">
        <v>12</v>
      </c>
      <c r="AB5" s="52">
        <f>N5</f>
        <v>200</v>
      </c>
      <c r="AC5" s="52">
        <f>O5</f>
        <v>1550</v>
      </c>
      <c r="AD5" s="16">
        <f>'2.Data Input'!C17</f>
        <v>265</v>
      </c>
      <c r="AE5" s="53">
        <f>'2.Data Input'!C26</f>
        <v>0.14716981132075471</v>
      </c>
      <c r="AF5" s="16">
        <f>AD5-(AD5*AE5)</f>
        <v>226</v>
      </c>
      <c r="AG5" s="28">
        <f>S5</f>
        <v>7547.1698113207549</v>
      </c>
      <c r="AH5" s="126">
        <f>'2.Data Input'!C26</f>
        <v>0.14716981132075471</v>
      </c>
      <c r="AI5" s="55">
        <f>IF('6.Change PH Exits'!E4="",'6.Change PH Exits'!D4,'6.Change PH Exits'!E4)</f>
        <v>0.17096774193548386</v>
      </c>
      <c r="AJ5" s="16">
        <f>IF(AI5="",AD5,AC5*AI5)</f>
        <v>265</v>
      </c>
      <c r="AK5" s="28">
        <f>IFERROR(D5/AJ5,0)</f>
        <v>7547.1698113207549</v>
      </c>
      <c r="AL5" s="29">
        <f>IF(AH5="",AJ5-(AJ5*AE5),AJ5-(AJ5*AH5))</f>
        <v>226</v>
      </c>
      <c r="AM5" s="28">
        <f>D5/AL5</f>
        <v>8849.5575221238942</v>
      </c>
      <c r="AO5" s="497" t="s">
        <v>303</v>
      </c>
      <c r="AP5" s="27" t="s">
        <v>12</v>
      </c>
      <c r="AQ5" s="52">
        <f>AB5</f>
        <v>200</v>
      </c>
      <c r="AR5" s="52">
        <f t="shared" ref="AR5:AV7" si="0">AC5</f>
        <v>1550</v>
      </c>
      <c r="AS5" s="52">
        <f t="shared" si="0"/>
        <v>265</v>
      </c>
      <c r="AT5" s="126">
        <f t="shared" si="0"/>
        <v>0.14716981132075471</v>
      </c>
      <c r="AU5" s="52">
        <f t="shared" si="0"/>
        <v>226</v>
      </c>
      <c r="AV5" s="28">
        <f t="shared" si="0"/>
        <v>7547.1698113207549</v>
      </c>
      <c r="AW5" s="126">
        <f>'2.Data Input'!C20</f>
        <v>0.17096774193548386</v>
      </c>
      <c r="AX5" s="55">
        <f>IF('9.Change Returns to Hmls'!E4="",'9.Change Returns to Hmls'!D4,'9.Change Returns to Hmls'!E4)</f>
        <v>0.14716981132075471</v>
      </c>
      <c r="AY5" s="16">
        <f>IF(AW5="",AS5,AR5*AW5)</f>
        <v>265</v>
      </c>
      <c r="AZ5" s="30">
        <f>S5/AY5</f>
        <v>28.479886080455678</v>
      </c>
      <c r="BA5" s="29">
        <f>IF(AX5="",AY5-(AY5*AT5),AY5-(AY5*AX5))</f>
        <v>226</v>
      </c>
      <c r="BB5" s="28">
        <f>S5/BA5</f>
        <v>33.394556687259978</v>
      </c>
      <c r="BD5" s="497" t="s">
        <v>303</v>
      </c>
      <c r="BE5" s="27" t="s">
        <v>12</v>
      </c>
      <c r="BF5" s="52">
        <f>R5</f>
        <v>265</v>
      </c>
      <c r="BG5" s="28">
        <f>S5</f>
        <v>7547.1698113207549</v>
      </c>
      <c r="BH5" s="102">
        <f>'10.Summary of Changes'!E99</f>
        <v>2000000</v>
      </c>
      <c r="BI5" s="103">
        <f>IF('10.Summary of Changes'!D94="",Formulas!Q5,'10.Summary of Changes'!D94)</f>
        <v>47.096774193548384</v>
      </c>
      <c r="BJ5" s="55">
        <f>IF('10.Summary of Changes'!D106="",'10.Summary of Changes'!C106,'10.Summary of Changes'!D106)</f>
        <v>0.17096774193548386</v>
      </c>
      <c r="BK5" s="55">
        <f>'10.Summary of Changes'!D111</f>
        <v>0.14716981132075471</v>
      </c>
      <c r="BL5" s="52">
        <f>IFERROR(('2.Data Input'!C5/'2.Data Input'!C8)*Formulas!BH5,0)</f>
        <v>200</v>
      </c>
      <c r="BM5" s="105">
        <f>IFERROR(365/BI5,0)</f>
        <v>7.7500000000000009</v>
      </c>
      <c r="BN5" s="52">
        <f>BL5*BM5</f>
        <v>1550.0000000000002</v>
      </c>
      <c r="BO5" s="104">
        <f>BN5*BJ5</f>
        <v>265</v>
      </c>
      <c r="BP5" s="29">
        <f>BO5-(BO5*BK5)</f>
        <v>226</v>
      </c>
      <c r="BQ5" s="30">
        <f>IFERROR(BH5/BO5,0)</f>
        <v>7547.1698113207549</v>
      </c>
      <c r="BS5" s="497" t="s">
        <v>303</v>
      </c>
      <c r="BT5" s="27" t="s">
        <v>12</v>
      </c>
      <c r="BU5" s="52">
        <f>BF5</f>
        <v>265</v>
      </c>
      <c r="BV5" s="28">
        <f>BG5</f>
        <v>7547.1698113207549</v>
      </c>
      <c r="BW5" s="102">
        <f>'11.Change All Calculator'!F14</f>
        <v>2000000</v>
      </c>
      <c r="BX5" s="103">
        <f>IF('11.Change All Calculator'!E9="",'11.Change All Calculator'!D9,'11.Change All Calculator'!E9)</f>
        <v>47.096774193548384</v>
      </c>
      <c r="BY5" s="55">
        <f>IF('11.Change All Calculator'!E4="",'11.Change All Calculator'!D4,'11.Change All Calculator'!E4)</f>
        <v>0.17096774193548386</v>
      </c>
      <c r="BZ5" s="55">
        <f>IF('11.Change All Calculator'!E21="",'11.Change All Calculator'!D21,'11.Change All Calculator'!E21)</f>
        <v>0.14716981132075471</v>
      </c>
      <c r="CA5" s="52">
        <f>IFERROR(('2.Data Input'!C5/'2.Data Input'!C8)*Formulas!BW5,0)</f>
        <v>200</v>
      </c>
      <c r="CB5" s="105">
        <f>IFERROR(365/BX5,0)</f>
        <v>7.7500000000000009</v>
      </c>
      <c r="CC5" s="52">
        <f>CA5*CB5</f>
        <v>1550.0000000000002</v>
      </c>
      <c r="CD5" s="104">
        <f>CC5*BY5</f>
        <v>265</v>
      </c>
      <c r="CE5" s="29">
        <f>CD5-(CD5*BZ5)</f>
        <v>226</v>
      </c>
      <c r="CF5" s="30">
        <f>IFERROR(BW5/CD5,0)</f>
        <v>7547.1698113207549</v>
      </c>
      <c r="CH5" s="27" t="s">
        <v>3</v>
      </c>
      <c r="CI5" s="52">
        <f>'4.Current Outcomes'!D6</f>
        <v>264.04255319148939</v>
      </c>
      <c r="CJ5" s="52">
        <f>'4.Current Outcomes'!J6</f>
        <v>307.36842105263156</v>
      </c>
      <c r="CK5" s="52">
        <f>'4.Current Outcomes'!P6</f>
        <v>287.78846153846155</v>
      </c>
      <c r="CL5" s="17"/>
      <c r="CM5" s="27" t="s">
        <v>3</v>
      </c>
      <c r="CN5" s="28">
        <f>IF('2.Data Input'!D$8=0,NA(),'2.Data Input'!D$8)</f>
        <v>1800000</v>
      </c>
      <c r="CO5" s="28">
        <f>IF('2.Data Input'!D$9=0,NA(),'2.Data Input'!D$9)</f>
        <v>3000000</v>
      </c>
      <c r="CP5" s="28">
        <f t="shared" ref="CP5:CP7" si="1">SUMIF(CN5:CO5,"&lt;&gt;"&amp;"#N/A")</f>
        <v>4800000</v>
      </c>
    </row>
    <row r="6" spans="1:94" ht="16.5" customHeight="1" x14ac:dyDescent="0.2">
      <c r="B6" s="497"/>
      <c r="C6" s="27" t="s">
        <v>3</v>
      </c>
      <c r="D6" s="28">
        <f>'2.Data Input'!D8</f>
        <v>1800000</v>
      </c>
      <c r="E6" s="29">
        <f>'2.Data Input'!D17</f>
        <v>98</v>
      </c>
      <c r="F6" s="30">
        <f t="shared" ref="F6:F7" si="2">IFERROR(D6/E6,0)</f>
        <v>18367.34693877551</v>
      </c>
      <c r="G6" s="91">
        <f>'8.Change Investments'!E5</f>
        <v>0</v>
      </c>
      <c r="H6" s="28">
        <f t="shared" ref="H6:H8" si="3">D6+G6</f>
        <v>1800000</v>
      </c>
      <c r="I6" s="16">
        <f t="shared" ref="I6:I7" si="4">IFERROR(IF(H6="","",IF(H6=0,0,H6/F6)),"")</f>
        <v>98</v>
      </c>
      <c r="J6" s="16" t="s">
        <v>19</v>
      </c>
      <c r="L6" s="497"/>
      <c r="M6" s="27" t="s">
        <v>3</v>
      </c>
      <c r="N6" s="8">
        <f>'2.Data Input'!D5</f>
        <v>170</v>
      </c>
      <c r="O6" s="8">
        <f>'2.Data Input'!D11</f>
        <v>235</v>
      </c>
      <c r="P6" s="21">
        <f t="shared" ref="P6:P7" si="5">IFERROR(O6/N6,0)</f>
        <v>1.3823529411764706</v>
      </c>
      <c r="Q6" s="20">
        <f t="shared" ref="Q6:Q7" si="6">IFERROR(365/P6,0)</f>
        <v>264.04255319148939</v>
      </c>
      <c r="R6" s="8">
        <f>'2.Data Input'!D17</f>
        <v>98</v>
      </c>
      <c r="S6" s="45">
        <f t="shared" ref="S6:S7" si="7">F6</f>
        <v>18367.34693877551</v>
      </c>
      <c r="T6" s="66">
        <f>IF('7.Change LOS'!E5="",Formulas!Q6,'7.Change LOS'!E5)</f>
        <v>264.04255319148939</v>
      </c>
      <c r="U6" s="8">
        <f t="shared" ref="U6:U7" si="8">V6*N6</f>
        <v>234.99999999999997</v>
      </c>
      <c r="V6" s="21">
        <f t="shared" ref="V6:V7" si="9">IFERROR(365/T6,P6)</f>
        <v>1.3823529411764703</v>
      </c>
      <c r="W6" s="20">
        <f>U6*'2.Data Input'!D20</f>
        <v>97.999999999999986</v>
      </c>
      <c r="X6" s="7">
        <f>IFERROR('2.Data Input'!D8/Formulas!W6,0)</f>
        <v>18367.346938775514</v>
      </c>
      <c r="Z6" s="497"/>
      <c r="AA6" s="27" t="s">
        <v>3</v>
      </c>
      <c r="AB6" s="52">
        <f t="shared" ref="AB6:AB7" si="10">N6</f>
        <v>170</v>
      </c>
      <c r="AC6" s="52">
        <f t="shared" ref="AC6:AC7" si="11">O6</f>
        <v>235</v>
      </c>
      <c r="AD6" s="16">
        <f>'2.Data Input'!D17</f>
        <v>98</v>
      </c>
      <c r="AE6" s="53">
        <f>'2.Data Input'!D26</f>
        <v>7.1428571428571425E-2</v>
      </c>
      <c r="AF6" s="16">
        <f t="shared" ref="AF6:AF7" si="12">AD6-(AD6*AE6)</f>
        <v>91</v>
      </c>
      <c r="AG6" s="28">
        <f t="shared" ref="AG6:AG7" si="13">S6</f>
        <v>18367.34693877551</v>
      </c>
      <c r="AH6" s="126">
        <f>'2.Data Input'!D26</f>
        <v>7.1428571428571425E-2</v>
      </c>
      <c r="AI6" s="55">
        <f>IF('6.Change PH Exits'!E5="",'6.Change PH Exits'!D5,'6.Change PH Exits'!E5)</f>
        <v>0.41702127659574467</v>
      </c>
      <c r="AJ6" s="16">
        <f t="shared" ref="AJ6:AJ7" si="14">IF(AI6="",AD6,AC6*AI6)</f>
        <v>98</v>
      </c>
      <c r="AK6" s="28">
        <f t="shared" ref="AK6:AK7" si="15">IFERROR(D6/AJ6,0)</f>
        <v>18367.34693877551</v>
      </c>
      <c r="AL6" s="29">
        <f>IF(AH6="",AJ6-(AJ6*AE6),AJ6-(AJ6*AH6))</f>
        <v>91</v>
      </c>
      <c r="AM6" s="28">
        <f>D6/AL6</f>
        <v>19780.219780219781</v>
      </c>
      <c r="AO6" s="497"/>
      <c r="AP6" s="27" t="s">
        <v>3</v>
      </c>
      <c r="AQ6" s="52">
        <f t="shared" ref="AQ6:AQ7" si="16">AB6</f>
        <v>170</v>
      </c>
      <c r="AR6" s="52">
        <f t="shared" si="0"/>
        <v>235</v>
      </c>
      <c r="AS6" s="52">
        <f t="shared" si="0"/>
        <v>98</v>
      </c>
      <c r="AT6" s="126">
        <f t="shared" si="0"/>
        <v>7.1428571428571425E-2</v>
      </c>
      <c r="AU6" s="52">
        <f t="shared" si="0"/>
        <v>91</v>
      </c>
      <c r="AV6" s="28">
        <f t="shared" si="0"/>
        <v>18367.34693877551</v>
      </c>
      <c r="AW6" s="126">
        <f>'2.Data Input'!D20</f>
        <v>0.41702127659574467</v>
      </c>
      <c r="AX6" s="55">
        <f>IF('9.Change Returns to Hmls'!E5="",'9.Change Returns to Hmls'!D5,'9.Change Returns to Hmls'!E5)</f>
        <v>7.1428571428571425E-2</v>
      </c>
      <c r="AY6" s="16">
        <f t="shared" ref="AY6:AY7" si="17">IF(AW6="",AS6,AR6*AW6)</f>
        <v>98</v>
      </c>
      <c r="AZ6" s="30">
        <f>S6/AY6</f>
        <v>187.4219075385256</v>
      </c>
      <c r="BA6" s="29">
        <f t="shared" ref="BA6:BA7" si="18">IF(AX6="",AY6-(AY6*AT6),AY6-(AY6*AX6))</f>
        <v>91</v>
      </c>
      <c r="BB6" s="28">
        <f>S6/BA6</f>
        <v>201.83897734918142</v>
      </c>
      <c r="BD6" s="497"/>
      <c r="BE6" s="27" t="s">
        <v>3</v>
      </c>
      <c r="BF6" s="52">
        <f t="shared" ref="BF6:BF7" si="19">R6</f>
        <v>98</v>
      </c>
      <c r="BG6" s="28">
        <f t="shared" ref="BG6:BG7" si="20">S6</f>
        <v>18367.34693877551</v>
      </c>
      <c r="BH6" s="102">
        <f>'10.Summary of Changes'!E100</f>
        <v>1800000</v>
      </c>
      <c r="BI6" s="103">
        <f>IF('10.Summary of Changes'!D95="",Formulas!Q6,'10.Summary of Changes'!D95)</f>
        <v>264.04255319148939</v>
      </c>
      <c r="BJ6" s="55">
        <f>IF('10.Summary of Changes'!D107="",'10.Summary of Changes'!C107,'10.Summary of Changes'!D107)</f>
        <v>0.41702127659574467</v>
      </c>
      <c r="BK6" s="55">
        <f>'10.Summary of Changes'!D112</f>
        <v>7.1428571428571425E-2</v>
      </c>
      <c r="BL6" s="52">
        <f>IFERROR(('2.Data Input'!D5/'2.Data Input'!D8)*Formulas!BH6,0)</f>
        <v>170</v>
      </c>
      <c r="BM6" s="105">
        <f t="shared" ref="BM6:BM7" si="21">IFERROR(365/BI6,0)</f>
        <v>1.3823529411764703</v>
      </c>
      <c r="BN6" s="52">
        <f t="shared" ref="BN6:BN7" si="22">BL6*BM6</f>
        <v>234.99999999999997</v>
      </c>
      <c r="BO6" s="104">
        <f t="shared" ref="BO6:BO7" si="23">BN6*BJ6</f>
        <v>97.999999999999986</v>
      </c>
      <c r="BP6" s="29">
        <f t="shared" ref="BP6:BP7" si="24">BO6-(BO6*BK6)</f>
        <v>90.999999999999986</v>
      </c>
      <c r="BQ6" s="30">
        <f t="shared" ref="BQ6:BQ7" si="25">IFERROR(BH6/BO6,0)</f>
        <v>18367.346938775514</v>
      </c>
      <c r="BS6" s="497"/>
      <c r="BT6" s="27" t="s">
        <v>3</v>
      </c>
      <c r="BU6" s="52">
        <f t="shared" ref="BU6:BU7" si="26">BF6</f>
        <v>98</v>
      </c>
      <c r="BV6" s="28">
        <f t="shared" ref="BV6:BV7" si="27">BG6</f>
        <v>18367.34693877551</v>
      </c>
      <c r="BW6" s="102">
        <f>'11.Change All Calculator'!F15</f>
        <v>1800000</v>
      </c>
      <c r="BX6" s="103">
        <f>IF('11.Change All Calculator'!E10="",'11.Change All Calculator'!D10,'11.Change All Calculator'!E10)</f>
        <v>264.04255319148939</v>
      </c>
      <c r="BY6" s="55">
        <f>IF('11.Change All Calculator'!E5="",'11.Change All Calculator'!D5,'11.Change All Calculator'!E5)</f>
        <v>0.41702127659574467</v>
      </c>
      <c r="BZ6" s="55">
        <f>IF('11.Change All Calculator'!E22="",'11.Change All Calculator'!D22,'11.Change All Calculator'!E22)</f>
        <v>7.1428571428571425E-2</v>
      </c>
      <c r="CA6" s="52">
        <f>IFERROR(('2.Data Input'!D5/'2.Data Input'!D8)*Formulas!BW6,0)</f>
        <v>170</v>
      </c>
      <c r="CB6" s="105">
        <f t="shared" ref="CB6:CB7" si="28">IFERROR(365/BX6,0)</f>
        <v>1.3823529411764703</v>
      </c>
      <c r="CC6" s="52">
        <f t="shared" ref="CC6:CC7" si="29">CA6*CB6</f>
        <v>234.99999999999997</v>
      </c>
      <c r="CD6" s="104">
        <f t="shared" ref="CD6:CD7" si="30">CC6*BY6</f>
        <v>97.999999999999986</v>
      </c>
      <c r="CE6" s="29">
        <f t="shared" ref="CE6:CE7" si="31">CD6-(CD6*BZ6)</f>
        <v>90.999999999999986</v>
      </c>
      <c r="CF6" s="30">
        <f t="shared" ref="CF6:CF7" si="32">IFERROR(BW6/CD6,0)</f>
        <v>18367.346938775514</v>
      </c>
      <c r="CH6" s="27" t="s">
        <v>2</v>
      </c>
      <c r="CI6" s="52">
        <f>'4.Current Outcomes'!D7</f>
        <v>121.66666666666667</v>
      </c>
      <c r="CJ6" s="52">
        <f>'4.Current Outcomes'!J7</f>
        <v>99.545454545454547</v>
      </c>
      <c r="CK6" s="52">
        <f>'4.Current Outcomes'!P7</f>
        <v>107.35294117647059</v>
      </c>
      <c r="CM6" s="27" t="s">
        <v>2</v>
      </c>
      <c r="CN6" s="28">
        <f>IF('2.Data Input'!E$8=0,NA(),'2.Data Input'!E$8)</f>
        <v>645000</v>
      </c>
      <c r="CO6" s="28">
        <f>IF('2.Data Input'!E$9=0,NA(),'2.Data Input'!E$9)</f>
        <v>850000</v>
      </c>
      <c r="CP6" s="28">
        <f t="shared" si="1"/>
        <v>1495000</v>
      </c>
    </row>
    <row r="7" spans="1:94" ht="16.5" customHeight="1" x14ac:dyDescent="0.2">
      <c r="B7" s="497"/>
      <c r="C7" s="27" t="s">
        <v>2</v>
      </c>
      <c r="D7" s="28">
        <f>'2.Data Input'!E8</f>
        <v>645000</v>
      </c>
      <c r="E7" s="29">
        <f>'2.Data Input'!E17</f>
        <v>112</v>
      </c>
      <c r="F7" s="30">
        <f t="shared" si="2"/>
        <v>5758.9285714285716</v>
      </c>
      <c r="G7" s="91">
        <f>'8.Change Investments'!E6</f>
        <v>0</v>
      </c>
      <c r="H7" s="28">
        <f t="shared" si="3"/>
        <v>645000</v>
      </c>
      <c r="I7" s="16">
        <f t="shared" si="4"/>
        <v>112</v>
      </c>
      <c r="J7" s="16" t="s">
        <v>19</v>
      </c>
      <c r="L7" s="497"/>
      <c r="M7" s="27" t="s">
        <v>2</v>
      </c>
      <c r="N7" s="8">
        <f>'2.Data Input'!E5</f>
        <v>50</v>
      </c>
      <c r="O7" s="8">
        <f>'2.Data Input'!E11</f>
        <v>150</v>
      </c>
      <c r="P7" s="21">
        <f t="shared" si="5"/>
        <v>3</v>
      </c>
      <c r="Q7" s="20">
        <f t="shared" si="6"/>
        <v>121.66666666666667</v>
      </c>
      <c r="R7" s="8">
        <f>'2.Data Input'!E17</f>
        <v>112</v>
      </c>
      <c r="S7" s="45">
        <f t="shared" si="7"/>
        <v>5758.9285714285716</v>
      </c>
      <c r="T7" s="66">
        <f>IF('7.Change LOS'!E6="",Formulas!Q7,'7.Change LOS'!E6)</f>
        <v>121.66666666666667</v>
      </c>
      <c r="U7" s="8">
        <f t="shared" si="8"/>
        <v>150</v>
      </c>
      <c r="V7" s="21">
        <f t="shared" si="9"/>
        <v>3</v>
      </c>
      <c r="W7" s="20">
        <f>U7*'2.Data Input'!E20</f>
        <v>112</v>
      </c>
      <c r="X7" s="7">
        <f>IFERROR('2.Data Input'!E8/Formulas!W7,0)</f>
        <v>5758.9285714285716</v>
      </c>
      <c r="Z7" s="497"/>
      <c r="AA7" s="27" t="s">
        <v>2</v>
      </c>
      <c r="AB7" s="52">
        <f t="shared" si="10"/>
        <v>50</v>
      </c>
      <c r="AC7" s="52">
        <f t="shared" si="11"/>
        <v>150</v>
      </c>
      <c r="AD7" s="16">
        <f>'2.Data Input'!E17</f>
        <v>112</v>
      </c>
      <c r="AE7" s="53">
        <f>'2.Data Input'!E26</f>
        <v>8.9285714285714288E-2</v>
      </c>
      <c r="AF7" s="16">
        <f t="shared" si="12"/>
        <v>102</v>
      </c>
      <c r="AG7" s="28">
        <f t="shared" si="13"/>
        <v>5758.9285714285716</v>
      </c>
      <c r="AH7" s="126">
        <f>'2.Data Input'!E26</f>
        <v>8.9285714285714288E-2</v>
      </c>
      <c r="AI7" s="55">
        <f>IF('6.Change PH Exits'!E6="",'6.Change PH Exits'!D6,'6.Change PH Exits'!E6)</f>
        <v>0.7466666666666667</v>
      </c>
      <c r="AJ7" s="16">
        <f t="shared" si="14"/>
        <v>112</v>
      </c>
      <c r="AK7" s="28">
        <f t="shared" si="15"/>
        <v>5758.9285714285716</v>
      </c>
      <c r="AL7" s="29">
        <f>IF(AH7="",AJ7-(AJ7*AE7),AJ7-(AJ7*AH7))</f>
        <v>102</v>
      </c>
      <c r="AM7" s="28">
        <f>D7/AL7</f>
        <v>6323.5294117647063</v>
      </c>
      <c r="AO7" s="497"/>
      <c r="AP7" s="27" t="s">
        <v>2</v>
      </c>
      <c r="AQ7" s="52">
        <f t="shared" si="16"/>
        <v>50</v>
      </c>
      <c r="AR7" s="52">
        <f t="shared" si="0"/>
        <v>150</v>
      </c>
      <c r="AS7" s="52">
        <f t="shared" si="0"/>
        <v>112</v>
      </c>
      <c r="AT7" s="126">
        <f t="shared" si="0"/>
        <v>8.9285714285714288E-2</v>
      </c>
      <c r="AU7" s="52">
        <f t="shared" si="0"/>
        <v>102</v>
      </c>
      <c r="AV7" s="28">
        <f t="shared" si="0"/>
        <v>5758.9285714285716</v>
      </c>
      <c r="AW7" s="126">
        <f>'2.Data Input'!E20</f>
        <v>0.7466666666666667</v>
      </c>
      <c r="AX7" s="55">
        <f>IF('9.Change Returns to Hmls'!E6="",'9.Change Returns to Hmls'!D6,'9.Change Returns to Hmls'!E6)</f>
        <v>8.9285714285714288E-2</v>
      </c>
      <c r="AY7" s="16">
        <f t="shared" si="17"/>
        <v>112</v>
      </c>
      <c r="AZ7" s="30">
        <f>S7/AY7</f>
        <v>51.419005102040821</v>
      </c>
      <c r="BA7" s="29">
        <f t="shared" si="18"/>
        <v>102</v>
      </c>
      <c r="BB7" s="28">
        <f>S7/BA7</f>
        <v>56.460084033613448</v>
      </c>
      <c r="BD7" s="497"/>
      <c r="BE7" s="27" t="s">
        <v>2</v>
      </c>
      <c r="BF7" s="52">
        <f t="shared" si="19"/>
        <v>112</v>
      </c>
      <c r="BG7" s="28">
        <f t="shared" si="20"/>
        <v>5758.9285714285716</v>
      </c>
      <c r="BH7" s="102">
        <f>'10.Summary of Changes'!E101</f>
        <v>645000</v>
      </c>
      <c r="BI7" s="103">
        <f>IF('10.Summary of Changes'!D96="",Formulas!Q7,'10.Summary of Changes'!D96)</f>
        <v>121.66666666666667</v>
      </c>
      <c r="BJ7" s="55">
        <f>IF('10.Summary of Changes'!D108="",'10.Summary of Changes'!C108,'10.Summary of Changes'!D108)</f>
        <v>0.7466666666666667</v>
      </c>
      <c r="BK7" s="55">
        <f>'10.Summary of Changes'!D113</f>
        <v>8.9285714285714288E-2</v>
      </c>
      <c r="BL7" s="52">
        <f>IFERROR(('2.Data Input'!E5/'2.Data Input'!E8)*Formulas!BH7,0)</f>
        <v>50</v>
      </c>
      <c r="BM7" s="105">
        <f t="shared" si="21"/>
        <v>3</v>
      </c>
      <c r="BN7" s="52">
        <f t="shared" si="22"/>
        <v>150</v>
      </c>
      <c r="BO7" s="104">
        <f t="shared" si="23"/>
        <v>112</v>
      </c>
      <c r="BP7" s="29">
        <f t="shared" si="24"/>
        <v>102</v>
      </c>
      <c r="BQ7" s="30">
        <f t="shared" si="25"/>
        <v>5758.9285714285716</v>
      </c>
      <c r="BS7" s="497"/>
      <c r="BT7" s="27" t="s">
        <v>2</v>
      </c>
      <c r="BU7" s="52">
        <f t="shared" si="26"/>
        <v>112</v>
      </c>
      <c r="BV7" s="28">
        <f t="shared" si="27"/>
        <v>5758.9285714285716</v>
      </c>
      <c r="BW7" s="102">
        <f>'11.Change All Calculator'!F16</f>
        <v>645000</v>
      </c>
      <c r="BX7" s="103">
        <f>IF('11.Change All Calculator'!E11="",'11.Change All Calculator'!D11,'11.Change All Calculator'!E11)</f>
        <v>121.66666666666667</v>
      </c>
      <c r="BY7" s="55">
        <f>IF('11.Change All Calculator'!E6="",'11.Change All Calculator'!D6,'11.Change All Calculator'!E6)</f>
        <v>0.7466666666666667</v>
      </c>
      <c r="BZ7" s="55">
        <f>IF('11.Change All Calculator'!E23="",'11.Change All Calculator'!D23,'11.Change All Calculator'!E23)</f>
        <v>8.9285714285714288E-2</v>
      </c>
      <c r="CA7" s="52">
        <f>IFERROR(('2.Data Input'!E5/'2.Data Input'!E8)*Formulas!BW7,0)</f>
        <v>50</v>
      </c>
      <c r="CB7" s="105">
        <f t="shared" si="28"/>
        <v>3</v>
      </c>
      <c r="CC7" s="52">
        <f t="shared" si="29"/>
        <v>150</v>
      </c>
      <c r="CD7" s="104">
        <f t="shared" si="30"/>
        <v>112</v>
      </c>
      <c r="CE7" s="29">
        <f t="shared" si="31"/>
        <v>102</v>
      </c>
      <c r="CF7" s="30">
        <f t="shared" si="32"/>
        <v>5758.9285714285716</v>
      </c>
      <c r="CH7"/>
      <c r="CI7"/>
      <c r="CJ7"/>
      <c r="CK7"/>
      <c r="CM7" s="111" t="s">
        <v>17</v>
      </c>
      <c r="CN7" s="28">
        <f>IF('2.Data Input'!F$8=0,NA(),'2.Data Input'!F$8)</f>
        <v>2500000</v>
      </c>
      <c r="CO7" s="28">
        <f>IF('2.Data Input'!F$9=0,NA(),'2.Data Input'!F$9)</f>
        <v>1500000</v>
      </c>
      <c r="CP7" s="28">
        <f t="shared" si="1"/>
        <v>4000000</v>
      </c>
    </row>
    <row r="8" spans="1:94" ht="16.5" customHeight="1" x14ac:dyDescent="0.2">
      <c r="B8" s="497"/>
      <c r="C8" s="27" t="s">
        <v>17</v>
      </c>
      <c r="D8" s="28">
        <f>'2.Data Input'!F8</f>
        <v>2500000</v>
      </c>
      <c r="E8" s="16" t="s">
        <v>19</v>
      </c>
      <c r="F8" s="30" t="s">
        <v>19</v>
      </c>
      <c r="G8" s="91">
        <f>'8.Change Investments'!E7</f>
        <v>0</v>
      </c>
      <c r="H8" s="28">
        <f t="shared" si="3"/>
        <v>2500000</v>
      </c>
      <c r="I8" s="16" t="s">
        <v>19</v>
      </c>
      <c r="J8" s="107">
        <f>G8/'2.Data Input'!H8</f>
        <v>0</v>
      </c>
      <c r="AO8" s="15"/>
      <c r="AP8" s="15"/>
      <c r="AQ8" s="15"/>
      <c r="AR8" s="15"/>
      <c r="AS8" s="15"/>
      <c r="AT8" s="15"/>
      <c r="AU8" s="15"/>
      <c r="AV8" s="15"/>
      <c r="AW8" s="15"/>
      <c r="AX8" s="15"/>
      <c r="AY8" s="15"/>
      <c r="AZ8" s="15"/>
      <c r="BA8" s="15"/>
      <c r="BB8" s="15"/>
      <c r="BD8" s="497"/>
      <c r="BE8" s="106" t="s">
        <v>17</v>
      </c>
      <c r="BH8" s="102">
        <f>'10.Summary of Changes'!E102</f>
        <v>2500000</v>
      </c>
      <c r="BL8" s="52">
        <f>IFERROR(('2.Data Input'!F5/'2.Data Input'!F8)*Formulas!BH8,0)</f>
        <v>185</v>
      </c>
      <c r="BS8" s="497"/>
      <c r="BT8" s="106" t="s">
        <v>17</v>
      </c>
      <c r="BW8" s="102">
        <f>'11.Change All Calculator'!F17</f>
        <v>2500000</v>
      </c>
      <c r="CA8" s="52">
        <f>IFERROR(('2.Data Input'!F5/'2.Data Input'!F8)*Formulas!BW8,0)</f>
        <v>185</v>
      </c>
    </row>
    <row r="9" spans="1:94" ht="16.5" customHeight="1" x14ac:dyDescent="0.2">
      <c r="B9" s="4"/>
      <c r="C9" s="22"/>
      <c r="AO9" s="15"/>
      <c r="AP9" s="15"/>
      <c r="AQ9" s="15"/>
      <c r="AR9" s="15"/>
      <c r="AS9" s="15"/>
      <c r="AT9" s="15"/>
      <c r="AU9" s="15"/>
      <c r="AV9" s="15"/>
      <c r="AW9" s="15"/>
      <c r="AX9" s="15"/>
      <c r="AY9" s="15"/>
      <c r="AZ9" s="15"/>
      <c r="BA9" s="15"/>
      <c r="BB9" s="15"/>
    </row>
    <row r="10" spans="1:94" s="14" customFormat="1" ht="16.5" customHeight="1" x14ac:dyDescent="0.2">
      <c r="D10" s="516" t="s">
        <v>13</v>
      </c>
      <c r="E10" s="516"/>
      <c r="F10" s="516"/>
      <c r="G10" s="515" t="s">
        <v>38</v>
      </c>
      <c r="H10" s="516" t="s">
        <v>42</v>
      </c>
      <c r="I10" s="516"/>
      <c r="J10" s="516"/>
      <c r="K10"/>
      <c r="N10" s="513" t="s">
        <v>13</v>
      </c>
      <c r="O10" s="513"/>
      <c r="P10" s="513"/>
      <c r="Q10" s="513"/>
      <c r="R10" s="513"/>
      <c r="S10" s="513"/>
      <c r="T10" s="514" t="s">
        <v>14</v>
      </c>
      <c r="U10" s="514"/>
      <c r="V10" s="514"/>
      <c r="W10" s="514"/>
      <c r="X10" s="514"/>
      <c r="AB10" s="508" t="s">
        <v>13</v>
      </c>
      <c r="AC10" s="509"/>
      <c r="AD10" s="509"/>
      <c r="AE10" s="509"/>
      <c r="AF10" s="509"/>
      <c r="AG10" s="509"/>
      <c r="AH10" s="510"/>
      <c r="AI10" s="511" t="s">
        <v>14</v>
      </c>
      <c r="AJ10" s="512"/>
      <c r="AK10" s="512"/>
      <c r="AL10" s="512"/>
      <c r="AM10" s="512"/>
      <c r="AN10"/>
      <c r="AO10" s="32"/>
      <c r="AP10" s="32"/>
      <c r="AQ10" s="508" t="s">
        <v>13</v>
      </c>
      <c r="AR10" s="509"/>
      <c r="AS10" s="509"/>
      <c r="AT10" s="509"/>
      <c r="AU10" s="509"/>
      <c r="AV10" s="509"/>
      <c r="AW10" s="510"/>
      <c r="AX10" s="511" t="s">
        <v>14</v>
      </c>
      <c r="AY10" s="512"/>
      <c r="AZ10" s="512"/>
      <c r="BA10" s="512"/>
      <c r="BB10" s="512"/>
      <c r="BD10" s="32"/>
      <c r="BE10" s="1"/>
      <c r="BF10" s="504" t="s">
        <v>13</v>
      </c>
      <c r="BG10" s="500"/>
      <c r="BH10" s="500" t="s">
        <v>31</v>
      </c>
      <c r="BI10" s="500"/>
      <c r="BJ10" s="500"/>
      <c r="BK10" s="500"/>
      <c r="BL10" s="100" t="s">
        <v>14</v>
      </c>
      <c r="BM10" s="100"/>
      <c r="BN10" s="100"/>
      <c r="BO10" s="100"/>
      <c r="BP10" s="100"/>
      <c r="BQ10" s="100"/>
      <c r="BS10" s="32"/>
      <c r="BT10" s="1"/>
      <c r="BU10" s="504" t="s">
        <v>13</v>
      </c>
      <c r="BV10" s="500"/>
      <c r="BW10" s="500" t="s">
        <v>31</v>
      </c>
      <c r="BX10" s="500"/>
      <c r="BY10" s="500"/>
      <c r="BZ10" s="500"/>
      <c r="CA10" s="500" t="s">
        <v>14</v>
      </c>
      <c r="CB10" s="500"/>
      <c r="CC10" s="500"/>
      <c r="CD10" s="500"/>
      <c r="CE10" s="500"/>
      <c r="CF10" s="500"/>
      <c r="CG10" s="32"/>
      <c r="CH10" s="108" t="s">
        <v>15</v>
      </c>
      <c r="CI10" s="108" t="s">
        <v>66</v>
      </c>
      <c r="CJ10" s="108" t="s">
        <v>67</v>
      </c>
      <c r="CK10" s="108" t="s">
        <v>68</v>
      </c>
      <c r="CM10" s="32"/>
      <c r="CN10" s="108" t="s">
        <v>15</v>
      </c>
      <c r="CO10" s="108" t="s">
        <v>76</v>
      </c>
      <c r="CP10" s="108" t="s">
        <v>77</v>
      </c>
    </row>
    <row r="11" spans="1:94" s="14" customFormat="1" ht="16.5" customHeight="1" x14ac:dyDescent="0.2">
      <c r="C11" s="18" t="s">
        <v>15</v>
      </c>
      <c r="D11" s="18" t="s">
        <v>35</v>
      </c>
      <c r="E11" s="44" t="s">
        <v>94</v>
      </c>
      <c r="F11" s="147" t="s">
        <v>96</v>
      </c>
      <c r="G11" s="515"/>
      <c r="H11" s="18" t="s">
        <v>35</v>
      </c>
      <c r="I11" s="44" t="s">
        <v>94</v>
      </c>
      <c r="J11" s="18" t="s">
        <v>25</v>
      </c>
      <c r="K11"/>
      <c r="M11" s="25" t="s">
        <v>15</v>
      </c>
      <c r="N11" s="44" t="s">
        <v>47</v>
      </c>
      <c r="O11" s="44" t="s">
        <v>16</v>
      </c>
      <c r="P11" s="44" t="s">
        <v>48</v>
      </c>
      <c r="Q11" s="44" t="s">
        <v>27</v>
      </c>
      <c r="R11" s="44" t="s">
        <v>94</v>
      </c>
      <c r="S11" s="147" t="s">
        <v>96</v>
      </c>
      <c r="T11" s="38" t="s">
        <v>29</v>
      </c>
      <c r="U11" s="44" t="s">
        <v>16</v>
      </c>
      <c r="V11" s="44" t="s">
        <v>48</v>
      </c>
      <c r="W11" s="44" t="s">
        <v>81</v>
      </c>
      <c r="X11" s="147" t="s">
        <v>96</v>
      </c>
      <c r="AA11" s="25" t="s">
        <v>15</v>
      </c>
      <c r="AB11" s="50" t="s">
        <v>47</v>
      </c>
      <c r="AC11" s="50" t="s">
        <v>16</v>
      </c>
      <c r="AD11" s="51" t="s">
        <v>51</v>
      </c>
      <c r="AE11" s="51" t="s">
        <v>53</v>
      </c>
      <c r="AF11" s="51" t="s">
        <v>36</v>
      </c>
      <c r="AG11" s="51" t="s">
        <v>37</v>
      </c>
      <c r="AH11" s="51" t="s">
        <v>53</v>
      </c>
      <c r="AI11" s="26" t="s">
        <v>52</v>
      </c>
      <c r="AJ11" s="51" t="s">
        <v>51</v>
      </c>
      <c r="AK11" s="51" t="s">
        <v>95</v>
      </c>
      <c r="AL11" s="51" t="s">
        <v>36</v>
      </c>
      <c r="AM11" s="51" t="s">
        <v>37</v>
      </c>
      <c r="AN11"/>
      <c r="AO11" s="32"/>
      <c r="AP11" s="109" t="s">
        <v>15</v>
      </c>
      <c r="AQ11" s="50" t="s">
        <v>47</v>
      </c>
      <c r="AR11" s="50" t="s">
        <v>16</v>
      </c>
      <c r="AS11" s="51" t="s">
        <v>51</v>
      </c>
      <c r="AT11" s="51" t="s">
        <v>53</v>
      </c>
      <c r="AU11" s="51" t="s">
        <v>36</v>
      </c>
      <c r="AV11" s="147" t="s">
        <v>96</v>
      </c>
      <c r="AW11" s="51" t="s">
        <v>52</v>
      </c>
      <c r="AX11" s="110" t="s">
        <v>53</v>
      </c>
      <c r="AY11" s="51" t="s">
        <v>51</v>
      </c>
      <c r="AZ11" s="51" t="s">
        <v>85</v>
      </c>
      <c r="BA11" s="51" t="s">
        <v>36</v>
      </c>
      <c r="BB11" s="51" t="s">
        <v>37</v>
      </c>
      <c r="BD11" s="32"/>
      <c r="BE11" s="31" t="s">
        <v>15</v>
      </c>
      <c r="BF11" s="51" t="s">
        <v>94</v>
      </c>
      <c r="BG11" s="51" t="s">
        <v>93</v>
      </c>
      <c r="BH11" s="9" t="s">
        <v>35</v>
      </c>
      <c r="BI11" s="9" t="s">
        <v>27</v>
      </c>
      <c r="BJ11" s="9" t="s">
        <v>52</v>
      </c>
      <c r="BK11" s="9" t="s">
        <v>53</v>
      </c>
      <c r="BL11" s="101" t="s">
        <v>47</v>
      </c>
      <c r="BM11" s="101" t="s">
        <v>48</v>
      </c>
      <c r="BN11" s="101" t="s">
        <v>16</v>
      </c>
      <c r="BO11" s="101" t="s">
        <v>51</v>
      </c>
      <c r="BP11" s="101" t="s">
        <v>63</v>
      </c>
      <c r="BQ11" s="51" t="s">
        <v>93</v>
      </c>
      <c r="BS11" s="32"/>
      <c r="BT11" s="147" t="s">
        <v>15</v>
      </c>
      <c r="BU11" s="51" t="s">
        <v>94</v>
      </c>
      <c r="BV11" s="51" t="s">
        <v>93</v>
      </c>
      <c r="BW11" s="9" t="s">
        <v>35</v>
      </c>
      <c r="BX11" s="9" t="s">
        <v>27</v>
      </c>
      <c r="BY11" s="9" t="s">
        <v>52</v>
      </c>
      <c r="BZ11" s="9" t="s">
        <v>53</v>
      </c>
      <c r="CA11" s="101" t="s">
        <v>47</v>
      </c>
      <c r="CB11" s="101" t="s">
        <v>48</v>
      </c>
      <c r="CC11" s="101" t="s">
        <v>16</v>
      </c>
      <c r="CD11" s="101" t="s">
        <v>51</v>
      </c>
      <c r="CE11" s="101" t="s">
        <v>63</v>
      </c>
      <c r="CF11" s="51" t="s">
        <v>93</v>
      </c>
      <c r="CG11" s="32"/>
      <c r="CH11" s="27" t="s">
        <v>12</v>
      </c>
      <c r="CI11" s="16">
        <f>'2.Data Input'!C17</f>
        <v>265</v>
      </c>
      <c r="CJ11" s="16">
        <f>'2.Data Input'!C18</f>
        <v>137</v>
      </c>
      <c r="CK11" s="16">
        <f>CI11+CJ11</f>
        <v>402</v>
      </c>
      <c r="CM11" s="497" t="s">
        <v>303</v>
      </c>
      <c r="CN11" s="27" t="s">
        <v>4</v>
      </c>
      <c r="CO11" s="30">
        <f>IFERROR(CN4/'2.Data Input'!C11,"")</f>
        <v>1290.3225806451612</v>
      </c>
      <c r="CP11" s="30">
        <f>IFERROR(CN4/'2.Data Input'!C17,"")</f>
        <v>7547.1698113207549</v>
      </c>
    </row>
    <row r="12" spans="1:94" ht="16.5" customHeight="1" x14ac:dyDescent="0.2">
      <c r="B12" s="497" t="s">
        <v>39</v>
      </c>
      <c r="C12" s="27" t="s">
        <v>12</v>
      </c>
      <c r="D12" s="28">
        <f>'2.Data Input'!C9</f>
        <v>1200000</v>
      </c>
      <c r="E12" s="29">
        <f>'2.Data Input'!C18</f>
        <v>137</v>
      </c>
      <c r="F12" s="30">
        <f>IFERROR(D12/E12,0)</f>
        <v>8759.1240875912408</v>
      </c>
      <c r="G12" s="91">
        <f>'8.Change Investments'!K4</f>
        <v>0</v>
      </c>
      <c r="H12" s="28">
        <f>D12+G12</f>
        <v>1200000</v>
      </c>
      <c r="I12" s="16">
        <f>IFERROR(IF(H12="","",IF(H12=0,0,H12/F12)),"")</f>
        <v>137</v>
      </c>
      <c r="J12" s="16" t="s">
        <v>19</v>
      </c>
      <c r="L12" s="497" t="s">
        <v>39</v>
      </c>
      <c r="M12" s="27" t="s">
        <v>12</v>
      </c>
      <c r="N12" s="8">
        <f>'2.Data Input'!C6</f>
        <v>90</v>
      </c>
      <c r="O12" s="8">
        <f>'2.Data Input'!C12</f>
        <v>430</v>
      </c>
      <c r="P12" s="21">
        <f>IFERROR(O12/N12,0)</f>
        <v>4.7777777777777777</v>
      </c>
      <c r="Q12" s="20">
        <f>IFERROR(365/P12,0)</f>
        <v>76.395348837209298</v>
      </c>
      <c r="R12" s="8">
        <f>'2.Data Input'!C18</f>
        <v>137</v>
      </c>
      <c r="S12" s="45">
        <f>F12</f>
        <v>8759.1240875912408</v>
      </c>
      <c r="T12" s="66">
        <f>IF('7.Change LOS'!K4="",Formulas!Q12,'7.Change LOS'!K4)</f>
        <v>76.395348837209298</v>
      </c>
      <c r="U12" s="8">
        <f>V12*N12</f>
        <v>430</v>
      </c>
      <c r="V12" s="21">
        <f>IFERROR(365/T12,P12)</f>
        <v>4.7777777777777777</v>
      </c>
      <c r="W12" s="20">
        <f>U12*'2.Data Input'!C21</f>
        <v>137</v>
      </c>
      <c r="X12" s="7">
        <f>IFERROR('2.Data Input'!C9/Formulas!W12,0)</f>
        <v>8759.1240875912408</v>
      </c>
      <c r="Z12" s="497" t="s">
        <v>39</v>
      </c>
      <c r="AA12" s="27" t="s">
        <v>12</v>
      </c>
      <c r="AB12" s="52">
        <f>N12</f>
        <v>90</v>
      </c>
      <c r="AC12" s="52">
        <f>O12</f>
        <v>430</v>
      </c>
      <c r="AD12" s="16">
        <f>'2.Data Input'!C18</f>
        <v>137</v>
      </c>
      <c r="AE12" s="53">
        <f>'2.Data Input'!C27</f>
        <v>0.10948905109489052</v>
      </c>
      <c r="AF12" s="16">
        <f>AD12-(AD12*AE12)</f>
        <v>122</v>
      </c>
      <c r="AG12" s="28">
        <f>S12</f>
        <v>8759.1240875912408</v>
      </c>
      <c r="AH12" s="126">
        <f>'2.Data Input'!C27</f>
        <v>0.10948905109489052</v>
      </c>
      <c r="AI12" s="55">
        <f>IF('6.Change PH Exits'!K4="",'6.Change PH Exits'!J4,'6.Change PH Exits'!K4)</f>
        <v>0.31860465116279069</v>
      </c>
      <c r="AJ12" s="16">
        <f>IF(AI12="",AD12,AC12*AI12)</f>
        <v>137</v>
      </c>
      <c r="AK12" s="28">
        <f>IFERROR(D12/AJ12,0)</f>
        <v>8759.1240875912408</v>
      </c>
      <c r="AL12" s="29">
        <f>IF(AH12="",AJ12-(AJ12*AE12),AJ12-(AJ12*AH12))</f>
        <v>122</v>
      </c>
      <c r="AM12" s="28">
        <f>D12/AL12</f>
        <v>9836.065573770491</v>
      </c>
      <c r="AO12" s="497" t="s">
        <v>39</v>
      </c>
      <c r="AP12" s="27" t="s">
        <v>12</v>
      </c>
      <c r="AQ12" s="52">
        <f>AB12</f>
        <v>90</v>
      </c>
      <c r="AR12" s="52">
        <f t="shared" ref="AR12:AV14" si="33">AC12</f>
        <v>430</v>
      </c>
      <c r="AS12" s="52">
        <f t="shared" si="33"/>
        <v>137</v>
      </c>
      <c r="AT12" s="126">
        <f t="shared" si="33"/>
        <v>0.10948905109489052</v>
      </c>
      <c r="AU12" s="52">
        <f t="shared" si="33"/>
        <v>122</v>
      </c>
      <c r="AV12" s="52">
        <f t="shared" si="33"/>
        <v>8759.1240875912408</v>
      </c>
      <c r="AW12" s="126">
        <f>'2.Data Input'!C21</f>
        <v>0.31860465116279069</v>
      </c>
      <c r="AX12" s="55">
        <f>IF('9.Change Returns to Hmls'!K4="",'9.Change Returns to Hmls'!J4,'9.Change Returns to Hmls'!K4)</f>
        <v>0.10948905109489052</v>
      </c>
      <c r="AY12" s="16">
        <f>IF(AW12="",AS12,AR12*AW12)</f>
        <v>137</v>
      </c>
      <c r="AZ12" s="28">
        <f>S12/AY12</f>
        <v>63.935212318184242</v>
      </c>
      <c r="BA12" s="29">
        <f>IF(AX12="",AY12-(AY12*AT12),AY12-(AY12*AX12))</f>
        <v>122</v>
      </c>
      <c r="BB12" s="28">
        <f>S12/BA12</f>
        <v>71.796099078616734</v>
      </c>
      <c r="BD12" s="497" t="s">
        <v>39</v>
      </c>
      <c r="BE12" s="27" t="s">
        <v>12</v>
      </c>
      <c r="BF12" s="52">
        <f>R12</f>
        <v>137</v>
      </c>
      <c r="BG12" s="28">
        <f>S12</f>
        <v>8759.1240875912408</v>
      </c>
      <c r="BH12" s="102">
        <f>'10.Summary of Changes'!J99</f>
        <v>1200000</v>
      </c>
      <c r="BI12" s="103">
        <f>IF('10.Summary of Changes'!I94="",Formulas!Q12,'10.Summary of Changes'!I94)</f>
        <v>76.395348837209298</v>
      </c>
      <c r="BJ12" s="55">
        <f>IF('10.Summary of Changes'!I106="",'10.Summary of Changes'!H106,'10.Summary of Changes'!I106)</f>
        <v>0.31860465116279069</v>
      </c>
      <c r="BK12" s="55">
        <f>'10.Summary of Changes'!I111</f>
        <v>0.10948905109489052</v>
      </c>
      <c r="BL12" s="52">
        <f>IFERROR(('2.Data Input'!C6/'2.Data Input'!C9)*Formulas!BH12,0)</f>
        <v>89.999999999999986</v>
      </c>
      <c r="BM12" s="105">
        <f>IFERROR(365/BI12,0)</f>
        <v>4.7777777777777777</v>
      </c>
      <c r="BN12" s="52">
        <f>BL12*BM12</f>
        <v>429.99999999999994</v>
      </c>
      <c r="BO12" s="104">
        <f>BN12*BJ12</f>
        <v>136.99999999999997</v>
      </c>
      <c r="BP12" s="29">
        <f>BO12-(BO12*BK12)</f>
        <v>121.99999999999997</v>
      </c>
      <c r="BQ12" s="30">
        <f>IFERROR(BH12/BO12,0)</f>
        <v>8759.1240875912426</v>
      </c>
      <c r="BS12" s="497" t="s">
        <v>39</v>
      </c>
      <c r="BT12" s="27" t="s">
        <v>12</v>
      </c>
      <c r="BU12" s="52">
        <f>BF12</f>
        <v>137</v>
      </c>
      <c r="BV12" s="28">
        <f>BG12</f>
        <v>8759.1240875912408</v>
      </c>
      <c r="BW12" s="102">
        <f>'11.Change All Calculator'!L14</f>
        <v>1200000</v>
      </c>
      <c r="BX12" s="103">
        <f>IF('11.Change All Calculator'!K9="",'11.Change All Calculator'!J9,'11.Change All Calculator'!K9)</f>
        <v>76.395348837209298</v>
      </c>
      <c r="BY12" s="55">
        <f>IF('11.Change All Calculator'!K4="",'11.Change All Calculator'!J4,'11.Change All Calculator'!K4)</f>
        <v>0.31860465116279069</v>
      </c>
      <c r="BZ12" s="55">
        <f>IF('11.Change All Calculator'!K21="",'11.Change All Calculator'!J21,'11.Change All Calculator'!K21)</f>
        <v>0.10948905109489052</v>
      </c>
      <c r="CA12" s="52">
        <f>IFERROR(('2.Data Input'!C6/'2.Data Input'!C9)*Formulas!BW12,0)</f>
        <v>89.999999999999986</v>
      </c>
      <c r="CB12" s="105">
        <f>IFERROR(365/BX12,0)</f>
        <v>4.7777777777777777</v>
      </c>
      <c r="CC12" s="52">
        <f>CA12*CB12</f>
        <v>429.99999999999994</v>
      </c>
      <c r="CD12" s="104">
        <f>CC12*BY12</f>
        <v>136.99999999999997</v>
      </c>
      <c r="CE12" s="29">
        <f>CD12-(CD12*BZ12)</f>
        <v>121.99999999999997</v>
      </c>
      <c r="CF12" s="30">
        <f>IFERROR(BW12/CD12,0)</f>
        <v>8759.1240875912426</v>
      </c>
      <c r="CH12" s="27" t="s">
        <v>3</v>
      </c>
      <c r="CI12" s="16">
        <f>'2.Data Input'!D17</f>
        <v>98</v>
      </c>
      <c r="CJ12" s="16">
        <f>'2.Data Input'!D18</f>
        <v>158</v>
      </c>
      <c r="CK12" s="16">
        <f t="shared" ref="CK12:CK13" si="34">CI12+CJ12</f>
        <v>256</v>
      </c>
      <c r="CM12" s="497"/>
      <c r="CN12" s="27" t="s">
        <v>3</v>
      </c>
      <c r="CO12" s="30">
        <f>IFERROR(CN5/'2.Data Input'!D11,"")</f>
        <v>7659.5744680851067</v>
      </c>
      <c r="CP12" s="30">
        <f>IFERROR(CN5/'2.Data Input'!D17,"")</f>
        <v>18367.34693877551</v>
      </c>
    </row>
    <row r="13" spans="1:94" ht="16.5" customHeight="1" x14ac:dyDescent="0.2">
      <c r="B13" s="497"/>
      <c r="C13" s="27" t="s">
        <v>3</v>
      </c>
      <c r="D13" s="28">
        <f>'2.Data Input'!D9</f>
        <v>3000000</v>
      </c>
      <c r="E13" s="29">
        <f>'2.Data Input'!D18</f>
        <v>158</v>
      </c>
      <c r="F13" s="30">
        <f t="shared" ref="F13:F14" si="35">IFERROR(D13/E13,0)</f>
        <v>18987.3417721519</v>
      </c>
      <c r="G13" s="91">
        <f>'8.Change Investments'!K5</f>
        <v>0</v>
      </c>
      <c r="H13" s="28">
        <f t="shared" ref="H13:H15" si="36">D13+G13</f>
        <v>3000000</v>
      </c>
      <c r="I13" s="16">
        <f t="shared" ref="I13:I14" si="37">IFERROR(IF(H13="","",IF(H13=0,0,H13/F13)),"")</f>
        <v>158</v>
      </c>
      <c r="J13" s="16" t="s">
        <v>19</v>
      </c>
      <c r="L13" s="497"/>
      <c r="M13" s="27" t="s">
        <v>3</v>
      </c>
      <c r="N13" s="8">
        <f>'2.Data Input'!D6</f>
        <v>240</v>
      </c>
      <c r="O13" s="8">
        <f>'2.Data Input'!D12</f>
        <v>285</v>
      </c>
      <c r="P13" s="21">
        <f t="shared" ref="P13:P14" si="38">IFERROR(O13/N13,0)</f>
        <v>1.1875</v>
      </c>
      <c r="Q13" s="20">
        <f t="shared" ref="Q13:Q14" si="39">IFERROR(365/P13,0)</f>
        <v>307.36842105263156</v>
      </c>
      <c r="R13" s="8">
        <f>'2.Data Input'!D18</f>
        <v>158</v>
      </c>
      <c r="S13" s="45">
        <f t="shared" ref="S13:S14" si="40">F13</f>
        <v>18987.3417721519</v>
      </c>
      <c r="T13" s="66">
        <f>IF('7.Change LOS'!K5="",Formulas!Q13,'7.Change LOS'!K5)</f>
        <v>307.36842105263156</v>
      </c>
      <c r="U13" s="8">
        <f t="shared" ref="U13:U14" si="41">V13*N13</f>
        <v>285</v>
      </c>
      <c r="V13" s="21">
        <f t="shared" ref="V13:V14" si="42">IFERROR(365/T13,P13)</f>
        <v>1.1875</v>
      </c>
      <c r="W13" s="20">
        <f>U13*'2.Data Input'!D21</f>
        <v>157.99999999999997</v>
      </c>
      <c r="X13" s="7">
        <f>IFERROR('2.Data Input'!D9/Formulas!W13,0)</f>
        <v>18987.341772151904</v>
      </c>
      <c r="Z13" s="497"/>
      <c r="AA13" s="27" t="s">
        <v>3</v>
      </c>
      <c r="AB13" s="52">
        <f t="shared" ref="AB13:AC14" si="43">N13</f>
        <v>240</v>
      </c>
      <c r="AC13" s="52">
        <f t="shared" si="43"/>
        <v>285</v>
      </c>
      <c r="AD13" s="16">
        <f>'2.Data Input'!D18</f>
        <v>158</v>
      </c>
      <c r="AE13" s="53">
        <f>'2.Data Input'!D27</f>
        <v>8.8607594936708861E-2</v>
      </c>
      <c r="AF13" s="16">
        <f t="shared" ref="AF13:AF14" si="44">AD13-(AD13*AE13)</f>
        <v>144</v>
      </c>
      <c r="AG13" s="28">
        <f t="shared" ref="AG13:AG14" si="45">S13</f>
        <v>18987.3417721519</v>
      </c>
      <c r="AH13" s="126">
        <f>'2.Data Input'!D27</f>
        <v>8.8607594936708861E-2</v>
      </c>
      <c r="AI13" s="55">
        <f>IF('6.Change PH Exits'!K5="",'6.Change PH Exits'!J5,'6.Change PH Exits'!K5)</f>
        <v>0.55438596491228065</v>
      </c>
      <c r="AJ13" s="16">
        <f t="shared" ref="AJ13:AJ14" si="46">IF(AI13="",AD13,AC13*AI13)</f>
        <v>157.99999999999997</v>
      </c>
      <c r="AK13" s="28">
        <f t="shared" ref="AK13:AK14" si="47">IFERROR(D13/AJ13,0)</f>
        <v>18987.341772151904</v>
      </c>
      <c r="AL13" s="29">
        <f>IF(AH13="",AJ13-(AJ13*AE13),AJ13-(AJ13*AH13))</f>
        <v>143.99999999999997</v>
      </c>
      <c r="AM13" s="28">
        <f>D13/AL13</f>
        <v>20833.333333333336</v>
      </c>
      <c r="AO13" s="497"/>
      <c r="AP13" s="27" t="s">
        <v>3</v>
      </c>
      <c r="AQ13" s="52">
        <f t="shared" ref="AQ13:AQ14" si="48">AB13</f>
        <v>240</v>
      </c>
      <c r="AR13" s="52">
        <f t="shared" si="33"/>
        <v>285</v>
      </c>
      <c r="AS13" s="52">
        <f t="shared" si="33"/>
        <v>158</v>
      </c>
      <c r="AT13" s="126">
        <f t="shared" si="33"/>
        <v>8.8607594936708861E-2</v>
      </c>
      <c r="AU13" s="52">
        <f t="shared" si="33"/>
        <v>144</v>
      </c>
      <c r="AV13" s="52">
        <f t="shared" si="33"/>
        <v>18987.3417721519</v>
      </c>
      <c r="AW13" s="126">
        <f>'2.Data Input'!D21</f>
        <v>0.55438596491228065</v>
      </c>
      <c r="AX13" s="55">
        <f>IF('9.Change Returns to Hmls'!K5="",'9.Change Returns to Hmls'!J5,'9.Change Returns to Hmls'!K5)</f>
        <v>8.8607594936708861E-2</v>
      </c>
      <c r="AY13" s="16">
        <f t="shared" ref="AY13:AY14" si="49">IF(AW13="",AS13,AR13*AW13)</f>
        <v>157.99999999999997</v>
      </c>
      <c r="AZ13" s="28">
        <f>S13/AY13</f>
        <v>120.17304919083483</v>
      </c>
      <c r="BA13" s="29">
        <f t="shared" ref="BA13:BA14" si="50">IF(AX13="",AY13-(AY13*AT13),AY13-(AY13*AX13))</f>
        <v>143.99999999999997</v>
      </c>
      <c r="BB13" s="28">
        <f>S13/BA13</f>
        <v>131.85654008438823</v>
      </c>
      <c r="BD13" s="497"/>
      <c r="BE13" s="27" t="s">
        <v>3</v>
      </c>
      <c r="BF13" s="52">
        <f t="shared" ref="BF13:BF14" si="51">R13</f>
        <v>158</v>
      </c>
      <c r="BG13" s="28">
        <f t="shared" ref="BG13:BG14" si="52">S13</f>
        <v>18987.3417721519</v>
      </c>
      <c r="BH13" s="102">
        <f>'10.Summary of Changes'!J100</f>
        <v>3000000</v>
      </c>
      <c r="BI13" s="103">
        <f>IF('10.Summary of Changes'!I95="",Formulas!Q13,'10.Summary of Changes'!I95)</f>
        <v>307.36842105263156</v>
      </c>
      <c r="BJ13" s="55">
        <f>IF('10.Summary of Changes'!I107="",'10.Summary of Changes'!H107,'10.Summary of Changes'!I107)</f>
        <v>0.55438596491228065</v>
      </c>
      <c r="BK13" s="55">
        <f>'10.Summary of Changes'!I112</f>
        <v>8.8607594936708861E-2</v>
      </c>
      <c r="BL13" s="52">
        <f>IFERROR(('2.Data Input'!D6/'2.Data Input'!D9)*Formulas!BH13,0)</f>
        <v>240.00000000000003</v>
      </c>
      <c r="BM13" s="105">
        <f t="shared" ref="BM13:BM14" si="53">IFERROR(365/BI13,0)</f>
        <v>1.1875</v>
      </c>
      <c r="BN13" s="52">
        <f t="shared" ref="BN13:BN14" si="54">BL13*BM13</f>
        <v>285.00000000000006</v>
      </c>
      <c r="BO13" s="104">
        <f t="shared" ref="BO13" si="55">BN13*BJ13</f>
        <v>158.00000000000003</v>
      </c>
      <c r="BP13" s="29">
        <f t="shared" ref="BP13:BP14" si="56">BO13-(BO13*BK13)</f>
        <v>144.00000000000003</v>
      </c>
      <c r="BQ13" s="30">
        <f t="shared" ref="BQ13:BQ14" si="57">IFERROR(BH13/BO13,0)</f>
        <v>18987.341772151896</v>
      </c>
      <c r="BS13" s="497"/>
      <c r="BT13" s="27" t="s">
        <v>3</v>
      </c>
      <c r="BU13" s="52">
        <f t="shared" ref="BU13:BU14" si="58">BF13</f>
        <v>158</v>
      </c>
      <c r="BV13" s="28">
        <f t="shared" ref="BV13:BV14" si="59">BG13</f>
        <v>18987.3417721519</v>
      </c>
      <c r="BW13" s="102">
        <f>'11.Change All Calculator'!L15</f>
        <v>3000000</v>
      </c>
      <c r="BX13" s="103">
        <f>IF('11.Change All Calculator'!K10="",'11.Change All Calculator'!J10,'11.Change All Calculator'!K10)</f>
        <v>307.36842105263156</v>
      </c>
      <c r="BY13" s="55">
        <f>IF('11.Change All Calculator'!K5="",'11.Change All Calculator'!J5,'11.Change All Calculator'!K5)</f>
        <v>0.55438596491228065</v>
      </c>
      <c r="BZ13" s="55">
        <f>IF('11.Change All Calculator'!K22="",'11.Change All Calculator'!J22,'11.Change All Calculator'!K22)</f>
        <v>8.8607594936708861E-2</v>
      </c>
      <c r="CA13" s="52">
        <f>IFERROR(('2.Data Input'!D6/'2.Data Input'!D9)*Formulas!BW13,0)</f>
        <v>240.00000000000003</v>
      </c>
      <c r="CB13" s="105">
        <f t="shared" ref="CB13:CB14" si="60">IFERROR(365/BX13,0)</f>
        <v>1.1875</v>
      </c>
      <c r="CC13" s="52">
        <f t="shared" ref="CC13:CC14" si="61">CA13*CB13</f>
        <v>285.00000000000006</v>
      </c>
      <c r="CD13" s="104">
        <f t="shared" ref="CD13:CD14" si="62">CC13*BY13</f>
        <v>158.00000000000003</v>
      </c>
      <c r="CE13" s="29">
        <f t="shared" ref="CE13:CE14" si="63">CD13-(CD13*BZ13)</f>
        <v>144.00000000000003</v>
      </c>
      <c r="CF13" s="30">
        <f t="shared" ref="CF13:CF14" si="64">IFERROR(BW13/CD13,0)</f>
        <v>18987.341772151896</v>
      </c>
      <c r="CH13" s="27" t="s">
        <v>2</v>
      </c>
      <c r="CI13" s="16">
        <f>'2.Data Input'!E17</f>
        <v>112</v>
      </c>
      <c r="CJ13" s="16">
        <f>'2.Data Input'!E18</f>
        <v>235</v>
      </c>
      <c r="CK13" s="16">
        <f t="shared" si="34"/>
        <v>347</v>
      </c>
      <c r="CM13" s="497"/>
      <c r="CN13" s="27" t="s">
        <v>2</v>
      </c>
      <c r="CO13" s="30">
        <f>IFERROR(CN6/'2.Data Input'!E11,"")</f>
        <v>4300</v>
      </c>
      <c r="CP13" s="30">
        <f>IFERROR(CN6/'2.Data Input'!E17,"")</f>
        <v>5758.9285714285716</v>
      </c>
    </row>
    <row r="14" spans="1:94" ht="16.5" customHeight="1" x14ac:dyDescent="0.2">
      <c r="B14" s="497"/>
      <c r="C14" s="27" t="s">
        <v>2</v>
      </c>
      <c r="D14" s="28">
        <f>'2.Data Input'!E9</f>
        <v>850000</v>
      </c>
      <c r="E14" s="29">
        <f>'2.Data Input'!E18</f>
        <v>235</v>
      </c>
      <c r="F14" s="30">
        <f t="shared" si="35"/>
        <v>3617.0212765957449</v>
      </c>
      <c r="G14" s="91">
        <f>'8.Change Investments'!K6</f>
        <v>0</v>
      </c>
      <c r="H14" s="28">
        <f t="shared" si="36"/>
        <v>850000</v>
      </c>
      <c r="I14" s="16">
        <f t="shared" si="37"/>
        <v>235</v>
      </c>
      <c r="J14" s="16" t="s">
        <v>19</v>
      </c>
      <c r="L14" s="497"/>
      <c r="M14" s="27" t="s">
        <v>2</v>
      </c>
      <c r="N14" s="8">
        <f>'2.Data Input'!E6</f>
        <v>75</v>
      </c>
      <c r="O14" s="8">
        <f>'2.Data Input'!E12</f>
        <v>275</v>
      </c>
      <c r="P14" s="21">
        <f t="shared" si="38"/>
        <v>3.6666666666666665</v>
      </c>
      <c r="Q14" s="20">
        <f t="shared" si="39"/>
        <v>99.545454545454547</v>
      </c>
      <c r="R14" s="8">
        <f>'2.Data Input'!E18</f>
        <v>235</v>
      </c>
      <c r="S14" s="45">
        <f t="shared" si="40"/>
        <v>3617.0212765957449</v>
      </c>
      <c r="T14" s="66">
        <f>IF('7.Change LOS'!K6="",Formulas!Q14,'7.Change LOS'!K6)</f>
        <v>99.545454545454547</v>
      </c>
      <c r="U14" s="8">
        <f t="shared" si="41"/>
        <v>275</v>
      </c>
      <c r="V14" s="21">
        <f t="shared" si="42"/>
        <v>3.6666666666666665</v>
      </c>
      <c r="W14" s="20">
        <f>U14*'2.Data Input'!E21</f>
        <v>235</v>
      </c>
      <c r="X14" s="7">
        <f>IFERROR('2.Data Input'!E9/Formulas!W14,0)</f>
        <v>3617.0212765957449</v>
      </c>
      <c r="Z14" s="497"/>
      <c r="AA14" s="27" t="s">
        <v>2</v>
      </c>
      <c r="AB14" s="52">
        <f t="shared" si="43"/>
        <v>75</v>
      </c>
      <c r="AC14" s="52">
        <f t="shared" si="43"/>
        <v>275</v>
      </c>
      <c r="AD14" s="16">
        <f>'2.Data Input'!E18</f>
        <v>235</v>
      </c>
      <c r="AE14" s="53">
        <f>'2.Data Input'!E27</f>
        <v>3.8297872340425532E-2</v>
      </c>
      <c r="AF14" s="16">
        <f t="shared" si="44"/>
        <v>226</v>
      </c>
      <c r="AG14" s="28">
        <f t="shared" si="45"/>
        <v>3617.0212765957449</v>
      </c>
      <c r="AH14" s="126">
        <f>'2.Data Input'!E27</f>
        <v>3.8297872340425532E-2</v>
      </c>
      <c r="AI14" s="55">
        <f>IF('6.Change PH Exits'!K6="",'6.Change PH Exits'!J6,'6.Change PH Exits'!K6)</f>
        <v>0.8545454545454545</v>
      </c>
      <c r="AJ14" s="16">
        <f t="shared" si="46"/>
        <v>235</v>
      </c>
      <c r="AK14" s="28">
        <f t="shared" si="47"/>
        <v>3617.0212765957449</v>
      </c>
      <c r="AL14" s="29">
        <f>IF(AH14="",AJ14-(AJ14*AE14),AJ14-(AJ14*AH14))</f>
        <v>226</v>
      </c>
      <c r="AM14" s="28">
        <f>D14/AL14</f>
        <v>3761.0619469026547</v>
      </c>
      <c r="AO14" s="497"/>
      <c r="AP14" s="27" t="s">
        <v>2</v>
      </c>
      <c r="AQ14" s="52">
        <f t="shared" si="48"/>
        <v>75</v>
      </c>
      <c r="AR14" s="52">
        <f t="shared" si="33"/>
        <v>275</v>
      </c>
      <c r="AS14" s="52">
        <f t="shared" si="33"/>
        <v>235</v>
      </c>
      <c r="AT14" s="126">
        <f t="shared" si="33"/>
        <v>3.8297872340425532E-2</v>
      </c>
      <c r="AU14" s="52">
        <f t="shared" si="33"/>
        <v>226</v>
      </c>
      <c r="AV14" s="52">
        <f t="shared" si="33"/>
        <v>3617.0212765957449</v>
      </c>
      <c r="AW14" s="126">
        <f>'2.Data Input'!E21</f>
        <v>0.8545454545454545</v>
      </c>
      <c r="AX14" s="55">
        <f>IF('9.Change Returns to Hmls'!K6="",'9.Change Returns to Hmls'!J6,'9.Change Returns to Hmls'!K6)</f>
        <v>3.8297872340425532E-2</v>
      </c>
      <c r="AY14" s="16">
        <f t="shared" si="49"/>
        <v>235</v>
      </c>
      <c r="AZ14" s="28">
        <f>S14/AY14</f>
        <v>15.391579900407425</v>
      </c>
      <c r="BA14" s="29">
        <f t="shared" si="50"/>
        <v>226</v>
      </c>
      <c r="BB14" s="28">
        <f>S14/BA14</f>
        <v>16.004518922990023</v>
      </c>
      <c r="BD14" s="497"/>
      <c r="BE14" s="27" t="s">
        <v>2</v>
      </c>
      <c r="BF14" s="52">
        <f t="shared" si="51"/>
        <v>235</v>
      </c>
      <c r="BG14" s="28">
        <f t="shared" si="52"/>
        <v>3617.0212765957449</v>
      </c>
      <c r="BH14" s="102">
        <f>'10.Summary of Changes'!J101</f>
        <v>850000</v>
      </c>
      <c r="BI14" s="103">
        <f>IF('10.Summary of Changes'!I96="",Formulas!Q14,'10.Summary of Changes'!I96)</f>
        <v>99.545454545454547</v>
      </c>
      <c r="BJ14" s="55">
        <f>IF('10.Summary of Changes'!I108="",'10.Summary of Changes'!H108,'10.Summary of Changes'!I108)</f>
        <v>0.8545454545454545</v>
      </c>
      <c r="BK14" s="55">
        <f>'10.Summary of Changes'!I113</f>
        <v>3.8297872340425532E-2</v>
      </c>
      <c r="BL14" s="52">
        <f>IFERROR(('2.Data Input'!E6/'2.Data Input'!E9)*Formulas!BH14,0)</f>
        <v>75</v>
      </c>
      <c r="BM14" s="105">
        <f t="shared" si="53"/>
        <v>3.6666666666666665</v>
      </c>
      <c r="BN14" s="52">
        <f t="shared" si="54"/>
        <v>275</v>
      </c>
      <c r="BO14" s="104">
        <f>BN14*BJ14</f>
        <v>235</v>
      </c>
      <c r="BP14" s="29">
        <f t="shared" si="56"/>
        <v>226</v>
      </c>
      <c r="BQ14" s="30">
        <f t="shared" si="57"/>
        <v>3617.0212765957449</v>
      </c>
      <c r="BS14" s="497"/>
      <c r="BT14" s="27" t="s">
        <v>2</v>
      </c>
      <c r="BU14" s="52">
        <f t="shared" si="58"/>
        <v>235</v>
      </c>
      <c r="BV14" s="28">
        <f t="shared" si="59"/>
        <v>3617.0212765957449</v>
      </c>
      <c r="BW14" s="102">
        <f>'11.Change All Calculator'!L16</f>
        <v>850000</v>
      </c>
      <c r="BX14" s="103">
        <f>IF('11.Change All Calculator'!K11="",'11.Change All Calculator'!J11,'11.Change All Calculator'!K11)</f>
        <v>99.545454545454547</v>
      </c>
      <c r="BY14" s="55">
        <f>IF('11.Change All Calculator'!K6="",'11.Change All Calculator'!J6,'11.Change All Calculator'!K6)</f>
        <v>0.8545454545454545</v>
      </c>
      <c r="BZ14" s="55">
        <f>IF('11.Change All Calculator'!K23="",'11.Change All Calculator'!J23,'11.Change All Calculator'!K23)</f>
        <v>3.8297872340425532E-2</v>
      </c>
      <c r="CA14" s="52">
        <f>IFERROR(('2.Data Input'!E6/'2.Data Input'!E9)*Formulas!BW14,0)</f>
        <v>75</v>
      </c>
      <c r="CB14" s="105">
        <f t="shared" si="60"/>
        <v>3.6666666666666665</v>
      </c>
      <c r="CC14" s="52">
        <f t="shared" si="61"/>
        <v>275</v>
      </c>
      <c r="CD14" s="104">
        <f t="shared" si="62"/>
        <v>235</v>
      </c>
      <c r="CE14" s="29">
        <f t="shared" si="63"/>
        <v>226</v>
      </c>
      <c r="CF14" s="30">
        <f t="shared" si="64"/>
        <v>3617.0212765957449</v>
      </c>
      <c r="CH14"/>
      <c r="CM14"/>
      <c r="CN14"/>
    </row>
    <row r="15" spans="1:94" ht="16.5" customHeight="1" x14ac:dyDescent="0.2">
      <c r="B15" s="497"/>
      <c r="C15" s="27" t="s">
        <v>17</v>
      </c>
      <c r="D15" s="28">
        <f>'2.Data Input'!F9</f>
        <v>1500000</v>
      </c>
      <c r="E15" s="16" t="s">
        <v>19</v>
      </c>
      <c r="F15" s="30" t="s">
        <v>19</v>
      </c>
      <c r="G15" s="91">
        <f>'8.Change Investments'!K7</f>
        <v>0</v>
      </c>
      <c r="H15" s="28">
        <f t="shared" si="36"/>
        <v>1500000</v>
      </c>
      <c r="I15" s="16" t="s">
        <v>19</v>
      </c>
      <c r="J15" s="29">
        <f>G15/'2.Data Input'!H9</f>
        <v>0</v>
      </c>
      <c r="AO15" s="15"/>
      <c r="AP15" s="15"/>
      <c r="AQ15" s="15"/>
      <c r="AR15" s="15"/>
      <c r="AS15" s="15"/>
      <c r="AT15" s="15"/>
      <c r="AU15" s="15"/>
      <c r="AV15" s="15"/>
      <c r="AW15" s="15"/>
      <c r="AX15" s="15"/>
      <c r="AY15" s="15"/>
      <c r="AZ15" s="15"/>
      <c r="BA15" s="15"/>
      <c r="BB15" s="15"/>
      <c r="BD15" s="497"/>
      <c r="BE15" s="106" t="s">
        <v>17</v>
      </c>
      <c r="BH15" s="102">
        <f>'10.Summary of Changes'!J102</f>
        <v>1500000</v>
      </c>
      <c r="BL15" s="52">
        <f>IFERROR(('2.Data Input'!F6/'2.Data Input'!F9)*Formulas!BH15,0)</f>
        <v>80</v>
      </c>
      <c r="BS15" s="497"/>
      <c r="BT15" s="106" t="s">
        <v>17</v>
      </c>
      <c r="BW15" s="102">
        <f>'11.Change All Calculator'!L17</f>
        <v>1500000</v>
      </c>
      <c r="CA15" s="52">
        <f>IFERROR(('2.Data Input'!F6/'2.Data Input'!F9)*Formulas!BW15,0)</f>
        <v>80</v>
      </c>
    </row>
    <row r="16" spans="1:94" ht="16.5" customHeight="1" x14ac:dyDescent="0.2">
      <c r="C16" s="22"/>
      <c r="AO16" s="15"/>
      <c r="AP16" s="15"/>
      <c r="AQ16" s="15"/>
      <c r="AR16" s="15"/>
      <c r="AS16" s="15"/>
      <c r="AT16" s="15"/>
      <c r="AU16" s="15"/>
      <c r="AV16" s="15"/>
      <c r="AW16" s="15"/>
      <c r="AX16" s="15"/>
      <c r="AY16" s="15"/>
      <c r="AZ16" s="15"/>
      <c r="BA16" s="15"/>
      <c r="BB16" s="15"/>
    </row>
    <row r="17" spans="2:94" s="14" customFormat="1" ht="16.5" customHeight="1" x14ac:dyDescent="0.2">
      <c r="D17" s="516" t="s">
        <v>13</v>
      </c>
      <c r="E17" s="516"/>
      <c r="F17" s="516"/>
      <c r="G17" s="515" t="s">
        <v>38</v>
      </c>
      <c r="H17" s="516" t="s">
        <v>42</v>
      </c>
      <c r="I17" s="516"/>
      <c r="J17" s="516"/>
      <c r="K17"/>
      <c r="N17" s="513" t="s">
        <v>13</v>
      </c>
      <c r="O17" s="513"/>
      <c r="P17" s="513"/>
      <c r="Q17" s="513"/>
      <c r="R17" s="513"/>
      <c r="S17" s="513"/>
      <c r="T17" s="514" t="s">
        <v>14</v>
      </c>
      <c r="U17" s="514"/>
      <c r="V17" s="514"/>
      <c r="W17" s="514"/>
      <c r="X17" s="514"/>
      <c r="AB17" s="508" t="s">
        <v>13</v>
      </c>
      <c r="AC17" s="509"/>
      <c r="AD17" s="509"/>
      <c r="AE17" s="509"/>
      <c r="AF17" s="509"/>
      <c r="AG17" s="509"/>
      <c r="AH17" s="510"/>
      <c r="AI17" s="511" t="s">
        <v>14</v>
      </c>
      <c r="AJ17" s="512"/>
      <c r="AK17" s="512"/>
      <c r="AL17" s="512"/>
      <c r="AM17" s="512"/>
      <c r="AN17"/>
      <c r="AO17" s="32"/>
      <c r="AP17" s="32"/>
      <c r="AQ17" s="508" t="s">
        <v>13</v>
      </c>
      <c r="AR17" s="509"/>
      <c r="AS17" s="509"/>
      <c r="AT17" s="509"/>
      <c r="AU17" s="509"/>
      <c r="AV17" s="509"/>
      <c r="AW17" s="510"/>
      <c r="AX17" s="511" t="s">
        <v>14</v>
      </c>
      <c r="AY17" s="512"/>
      <c r="AZ17" s="512"/>
      <c r="BA17" s="512"/>
      <c r="BB17" s="512"/>
      <c r="BD17" s="32"/>
      <c r="BE17" s="1"/>
      <c r="BF17" s="504" t="s">
        <v>13</v>
      </c>
      <c r="BG17" s="500"/>
      <c r="BH17" s="500" t="s">
        <v>31</v>
      </c>
      <c r="BI17" s="500"/>
      <c r="BJ17" s="500"/>
      <c r="BK17" s="500"/>
      <c r="BL17" s="100" t="s">
        <v>14</v>
      </c>
      <c r="BM17" s="100"/>
      <c r="BN17" s="100"/>
      <c r="BO17" s="100"/>
      <c r="BP17" s="100"/>
      <c r="BQ17" s="100"/>
      <c r="BS17" s="32"/>
      <c r="BT17" s="1"/>
      <c r="BU17" s="504" t="s">
        <v>13</v>
      </c>
      <c r="BV17" s="500"/>
      <c r="BW17" s="500" t="s">
        <v>31</v>
      </c>
      <c r="BX17" s="500"/>
      <c r="BY17" s="500"/>
      <c r="BZ17" s="500"/>
      <c r="CA17" s="500" t="s">
        <v>14</v>
      </c>
      <c r="CB17" s="500"/>
      <c r="CC17" s="500"/>
      <c r="CD17" s="500"/>
      <c r="CE17" s="500"/>
      <c r="CF17" s="500"/>
      <c r="CG17" s="32"/>
      <c r="CH17" s="108" t="s">
        <v>15</v>
      </c>
      <c r="CI17" s="108" t="s">
        <v>69</v>
      </c>
      <c r="CJ17" s="108" t="s">
        <v>70</v>
      </c>
      <c r="CK17" s="108" t="s">
        <v>71</v>
      </c>
      <c r="CM17" s="32"/>
      <c r="CN17" s="108" t="s">
        <v>15</v>
      </c>
      <c r="CO17" s="108" t="s">
        <v>76</v>
      </c>
      <c r="CP17" s="108" t="s">
        <v>77</v>
      </c>
    </row>
    <row r="18" spans="2:94" s="14" customFormat="1" ht="16.5" customHeight="1" x14ac:dyDescent="0.2">
      <c r="C18" s="18" t="s">
        <v>15</v>
      </c>
      <c r="D18" s="18" t="s">
        <v>35</v>
      </c>
      <c r="E18" s="44" t="s">
        <v>94</v>
      </c>
      <c r="F18" s="147" t="s">
        <v>96</v>
      </c>
      <c r="G18" s="515"/>
      <c r="H18" s="18" t="s">
        <v>35</v>
      </c>
      <c r="I18" s="44" t="s">
        <v>94</v>
      </c>
      <c r="J18" s="18" t="s">
        <v>25</v>
      </c>
      <c r="K18"/>
      <c r="M18" s="25" t="s">
        <v>15</v>
      </c>
      <c r="N18" s="44" t="s">
        <v>47</v>
      </c>
      <c r="O18" s="44" t="s">
        <v>16</v>
      </c>
      <c r="P18" s="44" t="s">
        <v>48</v>
      </c>
      <c r="Q18" s="44" t="s">
        <v>27</v>
      </c>
      <c r="R18" s="44" t="s">
        <v>94</v>
      </c>
      <c r="S18" s="147" t="s">
        <v>96</v>
      </c>
      <c r="T18" s="38" t="s">
        <v>29</v>
      </c>
      <c r="U18" s="44" t="s">
        <v>16</v>
      </c>
      <c r="V18" s="44" t="s">
        <v>48</v>
      </c>
      <c r="W18" s="44" t="s">
        <v>81</v>
      </c>
      <c r="X18" s="147" t="s">
        <v>96</v>
      </c>
      <c r="AA18" s="25" t="s">
        <v>15</v>
      </c>
      <c r="AB18" s="50" t="s">
        <v>47</v>
      </c>
      <c r="AC18" s="50" t="s">
        <v>16</v>
      </c>
      <c r="AD18" s="51" t="s">
        <v>51</v>
      </c>
      <c r="AE18" s="51" t="s">
        <v>53</v>
      </c>
      <c r="AF18" s="51" t="s">
        <v>36</v>
      </c>
      <c r="AG18" s="51" t="s">
        <v>37</v>
      </c>
      <c r="AH18" s="51" t="s">
        <v>53</v>
      </c>
      <c r="AI18" s="26" t="s">
        <v>52</v>
      </c>
      <c r="AJ18" s="51" t="s">
        <v>51</v>
      </c>
      <c r="AK18" s="51" t="s">
        <v>95</v>
      </c>
      <c r="AL18" s="51" t="s">
        <v>36</v>
      </c>
      <c r="AM18" s="51" t="s">
        <v>37</v>
      </c>
      <c r="AN18"/>
      <c r="AO18" s="32"/>
      <c r="AP18" s="109" t="s">
        <v>15</v>
      </c>
      <c r="AQ18" s="50" t="s">
        <v>47</v>
      </c>
      <c r="AR18" s="50" t="s">
        <v>16</v>
      </c>
      <c r="AS18" s="51" t="s">
        <v>51</v>
      </c>
      <c r="AT18" s="51" t="s">
        <v>53</v>
      </c>
      <c r="AU18" s="51" t="s">
        <v>36</v>
      </c>
      <c r="AV18" s="147" t="s">
        <v>96</v>
      </c>
      <c r="AW18" s="51" t="s">
        <v>52</v>
      </c>
      <c r="AX18" s="110" t="s">
        <v>53</v>
      </c>
      <c r="AY18" s="51" t="s">
        <v>51</v>
      </c>
      <c r="AZ18" s="51" t="s">
        <v>85</v>
      </c>
      <c r="BA18" s="51" t="s">
        <v>36</v>
      </c>
      <c r="BB18" s="51" t="s">
        <v>37</v>
      </c>
      <c r="BD18" s="32"/>
      <c r="BE18" s="31" t="s">
        <v>15</v>
      </c>
      <c r="BF18" s="51" t="s">
        <v>94</v>
      </c>
      <c r="BG18" s="51" t="s">
        <v>93</v>
      </c>
      <c r="BH18" s="9" t="s">
        <v>35</v>
      </c>
      <c r="BI18" s="9" t="s">
        <v>27</v>
      </c>
      <c r="BJ18" s="9" t="s">
        <v>52</v>
      </c>
      <c r="BK18" s="9" t="s">
        <v>53</v>
      </c>
      <c r="BL18" s="101" t="s">
        <v>47</v>
      </c>
      <c r="BM18" s="101" t="s">
        <v>48</v>
      </c>
      <c r="BN18" s="101" t="s">
        <v>16</v>
      </c>
      <c r="BO18" s="101" t="s">
        <v>51</v>
      </c>
      <c r="BP18" s="101" t="s">
        <v>63</v>
      </c>
      <c r="BQ18" s="51" t="s">
        <v>93</v>
      </c>
      <c r="BS18" s="32"/>
      <c r="BT18" s="147" t="s">
        <v>15</v>
      </c>
      <c r="BU18" s="51" t="s">
        <v>94</v>
      </c>
      <c r="BV18" s="51" t="s">
        <v>93</v>
      </c>
      <c r="BW18" s="9" t="s">
        <v>35</v>
      </c>
      <c r="BX18" s="9" t="s">
        <v>27</v>
      </c>
      <c r="BY18" s="9" t="s">
        <v>52</v>
      </c>
      <c r="BZ18" s="9" t="s">
        <v>53</v>
      </c>
      <c r="CA18" s="101" t="s">
        <v>47</v>
      </c>
      <c r="CB18" s="101" t="s">
        <v>48</v>
      </c>
      <c r="CC18" s="101" t="s">
        <v>16</v>
      </c>
      <c r="CD18" s="101" t="s">
        <v>51</v>
      </c>
      <c r="CE18" s="101" t="s">
        <v>63</v>
      </c>
      <c r="CF18" s="51" t="s">
        <v>93</v>
      </c>
      <c r="CG18" s="32"/>
      <c r="CH18" s="27" t="s">
        <v>12</v>
      </c>
      <c r="CI18" s="53">
        <f>'2.Data Input'!C20</f>
        <v>0.17096774193548386</v>
      </c>
      <c r="CJ18" s="53">
        <f>'2.Data Input'!C21</f>
        <v>0.31860465116279069</v>
      </c>
      <c r="CK18" s="53">
        <f>'2.Data Input'!C22</f>
        <v>0.20303030303030303</v>
      </c>
      <c r="CM18" s="497" t="s">
        <v>39</v>
      </c>
      <c r="CN18" s="27" t="s">
        <v>4</v>
      </c>
      <c r="CO18" s="30">
        <f>IFERROR(CO4/'2.Data Input'!C12,"")</f>
        <v>2790.6976744186045</v>
      </c>
      <c r="CP18" s="30">
        <f>IFERROR(CO4/'2.Data Input'!C18,"")</f>
        <v>8759.1240875912408</v>
      </c>
    </row>
    <row r="19" spans="2:94" ht="16.5" customHeight="1" x14ac:dyDescent="0.2">
      <c r="B19" s="497" t="s">
        <v>40</v>
      </c>
      <c r="C19" s="27" t="s">
        <v>12</v>
      </c>
      <c r="D19" s="28">
        <f>D5+D12</f>
        <v>3200000</v>
      </c>
      <c r="E19" s="29">
        <f>E5+E12</f>
        <v>402</v>
      </c>
      <c r="F19" s="30">
        <f>IFERROR(D19/E19,0)</f>
        <v>7960.1990049751248</v>
      </c>
      <c r="G19" s="54">
        <f>G5+G12</f>
        <v>0</v>
      </c>
      <c r="H19" s="28">
        <f>D19+G19</f>
        <v>3200000</v>
      </c>
      <c r="I19" s="29">
        <f>I5+I12</f>
        <v>402</v>
      </c>
      <c r="J19" s="16" t="s">
        <v>19</v>
      </c>
      <c r="L19" s="497" t="s">
        <v>40</v>
      </c>
      <c r="M19" s="27" t="s">
        <v>12</v>
      </c>
      <c r="N19" s="8">
        <f>N5+N12</f>
        <v>290</v>
      </c>
      <c r="O19" s="8">
        <f>O5+O12</f>
        <v>1980</v>
      </c>
      <c r="P19" s="21">
        <f>IFERROR(O19/N19,0)</f>
        <v>6.8275862068965516</v>
      </c>
      <c r="Q19" s="20">
        <f>IFERROR(365/P19,0)</f>
        <v>53.459595959595958</v>
      </c>
      <c r="R19" s="8">
        <f>R5+R12</f>
        <v>402</v>
      </c>
      <c r="S19" s="45">
        <f>F19</f>
        <v>7960.1990049751248</v>
      </c>
      <c r="T19" s="66">
        <f>((O5*T5)+(O12*T12))/O19</f>
        <v>53.459595959595958</v>
      </c>
      <c r="U19" s="8">
        <f>V19*N19</f>
        <v>1980</v>
      </c>
      <c r="V19" s="21">
        <f>IFERROR(365/T19,P19)</f>
        <v>6.8275862068965516</v>
      </c>
      <c r="W19" s="20">
        <f>U19*'2.Data Input'!C22</f>
        <v>402</v>
      </c>
      <c r="X19" s="7">
        <f>IFERROR('2.Data Input'!C10/Formulas!W19,0)</f>
        <v>7960.1990049751248</v>
      </c>
      <c r="Z19" s="497" t="s">
        <v>40</v>
      </c>
      <c r="AA19" s="27" t="s">
        <v>12</v>
      </c>
      <c r="AB19" s="52">
        <f>N19</f>
        <v>290</v>
      </c>
      <c r="AC19" s="52">
        <f>AC5+AC12</f>
        <v>1980</v>
      </c>
      <c r="AD19" s="16">
        <f>AD5+AD12</f>
        <v>402</v>
      </c>
      <c r="AE19" s="53">
        <f>'2.Data Input'!C28</f>
        <v>0.13432835820895522</v>
      </c>
      <c r="AF19" s="16">
        <f>AF5+AF12</f>
        <v>348</v>
      </c>
      <c r="AG19" s="28">
        <f>S19</f>
        <v>7960.1990049751248</v>
      </c>
      <c r="AH19" s="126">
        <f>'2.Data Input'!C28</f>
        <v>0.13432835820895522</v>
      </c>
      <c r="AI19" s="55">
        <f>((AC5*AI5)+(AC12*AI12))/AC19</f>
        <v>0.20303030303030303</v>
      </c>
      <c r="AJ19" s="16">
        <f>AJ5+AJ12</f>
        <v>402</v>
      </c>
      <c r="AK19" s="28">
        <f>IFERROR(D19/AJ19,0)</f>
        <v>7960.1990049751248</v>
      </c>
      <c r="AL19" s="29">
        <f>AL5+AL12</f>
        <v>348</v>
      </c>
      <c r="AM19" s="28">
        <f>D19/AL19</f>
        <v>9195.4022988505749</v>
      </c>
      <c r="AO19" s="497" t="s">
        <v>40</v>
      </c>
      <c r="AP19" s="27" t="s">
        <v>12</v>
      </c>
      <c r="AQ19" s="52">
        <f>AB19</f>
        <v>290</v>
      </c>
      <c r="AR19" s="52">
        <f t="shared" ref="AR19:AV21" si="65">AC19</f>
        <v>1980</v>
      </c>
      <c r="AS19" s="52">
        <f t="shared" si="65"/>
        <v>402</v>
      </c>
      <c r="AT19" s="126">
        <f t="shared" si="65"/>
        <v>0.13432835820895522</v>
      </c>
      <c r="AU19" s="52">
        <f t="shared" si="65"/>
        <v>348</v>
      </c>
      <c r="AV19" s="52">
        <f t="shared" si="65"/>
        <v>7960.1990049751248</v>
      </c>
      <c r="AW19" s="126">
        <f>'2.Data Input'!C22</f>
        <v>0.20303030303030303</v>
      </c>
      <c r="AX19" s="55">
        <f>((AS5*AX5)+(AS12*AX12))/AS19</f>
        <v>0.13432835820895522</v>
      </c>
      <c r="AY19" s="16">
        <f>IF(AW19="",AS19,AR19*AW19)</f>
        <v>402</v>
      </c>
      <c r="AZ19" s="28">
        <f>S19/AY19</f>
        <v>19.801490062127176</v>
      </c>
      <c r="BA19" s="29">
        <f>IF(AX19="",AY19-(AY19*AT19),AY19-(AY19*AX19))</f>
        <v>348</v>
      </c>
      <c r="BB19" s="28">
        <f>S19/BA19</f>
        <v>22.874135071767601</v>
      </c>
      <c r="BD19" s="497" t="s">
        <v>40</v>
      </c>
      <c r="BE19" s="27" t="s">
        <v>12</v>
      </c>
      <c r="BF19" s="52">
        <f>R19</f>
        <v>402</v>
      </c>
      <c r="BG19" s="28">
        <f>S19</f>
        <v>7960.1990049751248</v>
      </c>
      <c r="BH19" s="102">
        <f>'10.Summary of Changes'!O99</f>
        <v>3200000</v>
      </c>
      <c r="BI19" s="103">
        <f>((BI12*BN12)+(BI5*BN5))/(BN5+BN12)</f>
        <v>53.459595959595951</v>
      </c>
      <c r="BJ19" s="55">
        <f>IF('10.Summary of Changes'!N106="",'10.Summary of Changes'!M106,'10.Summary of Changes'!N106)</f>
        <v>0.20303030303030303</v>
      </c>
      <c r="BK19" s="55">
        <f>'10.Summary of Changes'!N111</f>
        <v>0.13432835820895522</v>
      </c>
      <c r="BL19" s="52">
        <f>BL5+BL12</f>
        <v>290</v>
      </c>
      <c r="BM19" s="105">
        <f>IFERROR(365/BI19,0)</f>
        <v>6.8275862068965525</v>
      </c>
      <c r="BN19" s="52">
        <f>BN5+BN12</f>
        <v>1980.0000000000002</v>
      </c>
      <c r="BO19" s="52">
        <f t="shared" ref="BO19:BP19" si="66">BO5+BO12</f>
        <v>402</v>
      </c>
      <c r="BP19" s="52">
        <f t="shared" si="66"/>
        <v>348</v>
      </c>
      <c r="BQ19" s="30">
        <f>IFERROR(BH19/BO19,0)</f>
        <v>7960.1990049751248</v>
      </c>
      <c r="BS19" s="497" t="s">
        <v>40</v>
      </c>
      <c r="BT19" s="27" t="s">
        <v>12</v>
      </c>
      <c r="BU19" s="52">
        <f>BF19</f>
        <v>402</v>
      </c>
      <c r="BV19" s="28">
        <f>BG19</f>
        <v>7960.1990049751248</v>
      </c>
      <c r="BW19" s="102">
        <f>'11.Change All Calculator'!Q14</f>
        <v>3200000</v>
      </c>
      <c r="BX19" s="103">
        <f>((BX5*CC5)+(BX12*CC12))/(CC5+CC12)</f>
        <v>53.459595959595951</v>
      </c>
      <c r="BY19" s="169">
        <f>TRUNC(((BY5*CC5)+(BY12*CC12))/(CC5+CC12),2)</f>
        <v>0.2</v>
      </c>
      <c r="BZ19" s="55">
        <f>((BU5*BZ5)+(BU12*BZ12))/BU19</f>
        <v>0.13432835820895522</v>
      </c>
      <c r="CA19" s="52">
        <f>CA5+CA12</f>
        <v>290</v>
      </c>
      <c r="CB19" s="105">
        <f>365/BX19</f>
        <v>6.8275862068965525</v>
      </c>
      <c r="CC19" s="52">
        <f>CC5+CC12</f>
        <v>1980.0000000000002</v>
      </c>
      <c r="CD19" s="52">
        <f t="shared" ref="CD19" si="67">CD5+CD12</f>
        <v>402</v>
      </c>
      <c r="CE19" s="52">
        <f>CE5+CE12</f>
        <v>348</v>
      </c>
      <c r="CF19" s="30">
        <f>IFERROR(BW19/CD19,0)</f>
        <v>7960.1990049751248</v>
      </c>
      <c r="CH19" s="27" t="s">
        <v>3</v>
      </c>
      <c r="CI19" s="53">
        <f>'2.Data Input'!D20</f>
        <v>0.41702127659574467</v>
      </c>
      <c r="CJ19" s="53">
        <f>'2.Data Input'!D21</f>
        <v>0.55438596491228065</v>
      </c>
      <c r="CK19" s="53">
        <f>'2.Data Input'!D22</f>
        <v>0.49230769230769228</v>
      </c>
      <c r="CM19" s="497"/>
      <c r="CN19" s="27" t="s">
        <v>3</v>
      </c>
      <c r="CO19" s="30">
        <f>IFERROR(CO5/'2.Data Input'!D12,"")</f>
        <v>10526.315789473685</v>
      </c>
      <c r="CP19" s="30">
        <f>IFERROR(CO5/'2.Data Input'!D18,"")</f>
        <v>18987.3417721519</v>
      </c>
    </row>
    <row r="20" spans="2:94" ht="16.5" customHeight="1" x14ac:dyDescent="0.2">
      <c r="B20" s="497"/>
      <c r="C20" s="27" t="s">
        <v>3</v>
      </c>
      <c r="D20" s="28">
        <f t="shared" ref="D20:E22" si="68">D6+D13</f>
        <v>4800000</v>
      </c>
      <c r="E20" s="29">
        <f t="shared" si="68"/>
        <v>256</v>
      </c>
      <c r="F20" s="30">
        <f t="shared" ref="F20:F21" si="69">IFERROR(D20/E20,0)</f>
        <v>18750</v>
      </c>
      <c r="G20" s="54">
        <f t="shared" ref="G20:G22" si="70">G6+G13</f>
        <v>0</v>
      </c>
      <c r="H20" s="28">
        <f t="shared" ref="H20:H22" si="71">D20+G20</f>
        <v>4800000</v>
      </c>
      <c r="I20" s="29">
        <f t="shared" ref="I20" si="72">I6+I13</f>
        <v>256</v>
      </c>
      <c r="J20" s="16" t="s">
        <v>19</v>
      </c>
      <c r="L20" s="497"/>
      <c r="M20" s="27" t="s">
        <v>3</v>
      </c>
      <c r="N20" s="8">
        <f t="shared" ref="N20:O21" si="73">N6+N13</f>
        <v>410</v>
      </c>
      <c r="O20" s="8">
        <f t="shared" si="73"/>
        <v>520</v>
      </c>
      <c r="P20" s="21">
        <f t="shared" ref="P20:P21" si="74">IFERROR(O20/N20,0)</f>
        <v>1.2682926829268293</v>
      </c>
      <c r="Q20" s="20">
        <f t="shared" ref="Q20:Q21" si="75">IFERROR(365/P20,0)</f>
        <v>287.78846153846155</v>
      </c>
      <c r="R20" s="8">
        <f t="shared" ref="R20:R21" si="76">R6+R13</f>
        <v>256</v>
      </c>
      <c r="S20" s="45">
        <f t="shared" ref="S20:S21" si="77">F20</f>
        <v>18750</v>
      </c>
      <c r="T20" s="66">
        <f t="shared" ref="T20:T21" si="78">((O6*T6)+(O13*T13))/O20</f>
        <v>287.78846153846155</v>
      </c>
      <c r="U20" s="8">
        <f t="shared" ref="U20:U21" si="79">V20*N20</f>
        <v>520</v>
      </c>
      <c r="V20" s="21">
        <f t="shared" ref="V20:V21" si="80">IFERROR(365/T20,P20)</f>
        <v>1.2682926829268293</v>
      </c>
      <c r="W20" s="20">
        <f>U20*'2.Data Input'!D22</f>
        <v>255.99999999999997</v>
      </c>
      <c r="X20" s="7">
        <f>IFERROR('2.Data Input'!D10/Formulas!W20,0)</f>
        <v>18750.000000000004</v>
      </c>
      <c r="Z20" s="497"/>
      <c r="AA20" s="27" t="s">
        <v>3</v>
      </c>
      <c r="AB20" s="52">
        <f t="shared" ref="AB20:AB21" si="81">N20</f>
        <v>410</v>
      </c>
      <c r="AC20" s="52">
        <f t="shared" ref="AC20:AC21" si="82">AC6+AC13</f>
        <v>520</v>
      </c>
      <c r="AD20" s="16">
        <f t="shared" ref="AD20:AD21" si="83">AD6+AD13</f>
        <v>256</v>
      </c>
      <c r="AE20" s="53">
        <f>'2.Data Input'!D28</f>
        <v>8.203125E-2</v>
      </c>
      <c r="AF20" s="16">
        <f t="shared" ref="AF20:AF21" si="84">AF6+AF13</f>
        <v>235</v>
      </c>
      <c r="AG20" s="28">
        <f t="shared" ref="AG20:AG21" si="85">S20</f>
        <v>18750</v>
      </c>
      <c r="AH20" s="126">
        <f>'2.Data Input'!D28</f>
        <v>8.203125E-2</v>
      </c>
      <c r="AI20" s="55">
        <f t="shared" ref="AI20:AI21" si="86">((AC6*AI6)+(AC13*AI13))/AC20</f>
        <v>0.49230769230769228</v>
      </c>
      <c r="AJ20" s="16">
        <f t="shared" ref="AJ20:AJ21" si="87">AJ6+AJ13</f>
        <v>255.99999999999997</v>
      </c>
      <c r="AK20" s="28">
        <f t="shared" ref="AK20:AK21" si="88">IFERROR(D20/AJ20,0)</f>
        <v>18750.000000000004</v>
      </c>
      <c r="AL20" s="29">
        <f t="shared" ref="AL20:AL21" si="89">AL6+AL13</f>
        <v>234.99999999999997</v>
      </c>
      <c r="AM20" s="28">
        <f>D20/AL20</f>
        <v>20425.531914893618</v>
      </c>
      <c r="AO20" s="497"/>
      <c r="AP20" s="27" t="s">
        <v>3</v>
      </c>
      <c r="AQ20" s="52">
        <f t="shared" ref="AQ20:AQ21" si="90">AB20</f>
        <v>410</v>
      </c>
      <c r="AR20" s="52">
        <f t="shared" si="65"/>
        <v>520</v>
      </c>
      <c r="AS20" s="52">
        <f t="shared" si="65"/>
        <v>256</v>
      </c>
      <c r="AT20" s="126">
        <f t="shared" si="65"/>
        <v>8.203125E-2</v>
      </c>
      <c r="AU20" s="52">
        <f t="shared" si="65"/>
        <v>235</v>
      </c>
      <c r="AV20" s="52">
        <f t="shared" si="65"/>
        <v>18750</v>
      </c>
      <c r="AW20" s="126">
        <f>'2.Data Input'!D22</f>
        <v>0.49230769230769228</v>
      </c>
      <c r="AX20" s="55">
        <f t="shared" ref="AX20:AX21" si="91">((AS6*AX6)+(AS13*AX13))/AS20</f>
        <v>8.203125E-2</v>
      </c>
      <c r="AY20" s="16">
        <f t="shared" ref="AY20:AY21" si="92">IF(AW20="",AS20,AR20*AW20)</f>
        <v>255.99999999999997</v>
      </c>
      <c r="AZ20" s="28">
        <f>S20/AY20</f>
        <v>73.242187500000014</v>
      </c>
      <c r="BA20" s="29">
        <f t="shared" ref="BA20:BA21" si="93">IF(AX20="",AY20-(AY20*AT20),AY20-(AY20*AX20))</f>
        <v>234.99999999999997</v>
      </c>
      <c r="BB20" s="28">
        <f>S20/BA20</f>
        <v>79.787234042553195</v>
      </c>
      <c r="BD20" s="497"/>
      <c r="BE20" s="27" t="s">
        <v>3</v>
      </c>
      <c r="BF20" s="52">
        <f t="shared" ref="BF20:BF21" si="94">R20</f>
        <v>256</v>
      </c>
      <c r="BG20" s="28">
        <f t="shared" ref="BG20:BG21" si="95">S20</f>
        <v>18750</v>
      </c>
      <c r="BH20" s="102">
        <f>'10.Summary of Changes'!O100</f>
        <v>4800000</v>
      </c>
      <c r="BI20" s="103">
        <f t="shared" ref="BI20:BI21" si="96">((BI13*BN13)+(BI6*BN6))/(BN6+BN13)</f>
        <v>287.78846153846155</v>
      </c>
      <c r="BJ20" s="55">
        <f>IF('10.Summary of Changes'!N107="",'10.Summary of Changes'!M107,'10.Summary of Changes'!N107)</f>
        <v>0.49230769230769228</v>
      </c>
      <c r="BK20" s="55">
        <f>'10.Summary of Changes'!N112</f>
        <v>8.203125E-2</v>
      </c>
      <c r="BL20" s="52">
        <f t="shared" ref="BL20:BL22" si="97">BL6+BL13</f>
        <v>410</v>
      </c>
      <c r="BM20" s="105">
        <f t="shared" ref="BM20:BM21" si="98">IFERROR(365/BI20,0)</f>
        <v>1.2682926829268293</v>
      </c>
      <c r="BN20" s="52">
        <f t="shared" ref="BN20:BP21" si="99">BN6+BN13</f>
        <v>520</v>
      </c>
      <c r="BO20" s="52">
        <f t="shared" si="99"/>
        <v>256</v>
      </c>
      <c r="BP20" s="52">
        <f t="shared" si="99"/>
        <v>235</v>
      </c>
      <c r="BQ20" s="30">
        <f t="shared" ref="BQ20:BQ21" si="100">IFERROR(BH20/BO20,0)</f>
        <v>18750</v>
      </c>
      <c r="BS20" s="497"/>
      <c r="BT20" s="27" t="s">
        <v>3</v>
      </c>
      <c r="BU20" s="52">
        <f t="shared" ref="BU20:BU21" si="101">BF20</f>
        <v>256</v>
      </c>
      <c r="BV20" s="28">
        <f t="shared" ref="BV20:BV21" si="102">BG20</f>
        <v>18750</v>
      </c>
      <c r="BW20" s="102">
        <f>'11.Change All Calculator'!Q15</f>
        <v>4800000</v>
      </c>
      <c r="BX20" s="103">
        <f t="shared" ref="BX20:BX21" si="103">((BX6*CC6)+(BX13*CC13))/(CC6+CC13)</f>
        <v>287.78846153846155</v>
      </c>
      <c r="BY20" s="169">
        <f t="shared" ref="BY20:BY21" si="104">TRUNC(((BY6*CC6)+(BY13*CC13))/(CC6+CC13),2)</f>
        <v>0.49</v>
      </c>
      <c r="BZ20" s="55">
        <f t="shared" ref="BZ20:BZ21" si="105">((BU6*BZ6)+(BU13*BZ13))/BU20</f>
        <v>8.203125E-2</v>
      </c>
      <c r="CA20" s="52">
        <f t="shared" ref="CA20:CA22" si="106">CA6+CA13</f>
        <v>410</v>
      </c>
      <c r="CB20" s="105">
        <f t="shared" ref="CB20:CB21" si="107">365/BX20</f>
        <v>1.2682926829268293</v>
      </c>
      <c r="CC20" s="52">
        <f t="shared" ref="CC20:CE21" si="108">CC6+CC13</f>
        <v>520</v>
      </c>
      <c r="CD20" s="52">
        <f t="shared" si="108"/>
        <v>256</v>
      </c>
      <c r="CE20" s="52">
        <f t="shared" si="108"/>
        <v>235</v>
      </c>
      <c r="CF20" s="30">
        <f t="shared" ref="CF20:CF21" si="109">IFERROR(BW20/CD20,0)</f>
        <v>18750</v>
      </c>
      <c r="CH20" s="27" t="s">
        <v>2</v>
      </c>
      <c r="CI20" s="53">
        <f>'2.Data Input'!E20</f>
        <v>0.7466666666666667</v>
      </c>
      <c r="CJ20" s="53">
        <f>'2.Data Input'!E21</f>
        <v>0.8545454545454545</v>
      </c>
      <c r="CK20" s="53">
        <f>'2.Data Input'!E22</f>
        <v>0.81647058823529417</v>
      </c>
      <c r="CM20" s="497"/>
      <c r="CN20" s="27" t="s">
        <v>2</v>
      </c>
      <c r="CO20" s="30">
        <f>IFERROR(CO6/'2.Data Input'!E12,"")</f>
        <v>3090.909090909091</v>
      </c>
      <c r="CP20" s="30">
        <f>IFERROR(CO6/'2.Data Input'!E18,"")</f>
        <v>3617.0212765957449</v>
      </c>
    </row>
    <row r="21" spans="2:94" ht="16.5" customHeight="1" x14ac:dyDescent="0.2">
      <c r="B21" s="497"/>
      <c r="C21" s="27" t="s">
        <v>2</v>
      </c>
      <c r="D21" s="28">
        <f t="shared" si="68"/>
        <v>1495000</v>
      </c>
      <c r="E21" s="29">
        <f t="shared" si="68"/>
        <v>347</v>
      </c>
      <c r="F21" s="30">
        <f t="shared" si="69"/>
        <v>4308.3573487031699</v>
      </c>
      <c r="G21" s="54">
        <f t="shared" si="70"/>
        <v>0</v>
      </c>
      <c r="H21" s="28">
        <f t="shared" si="71"/>
        <v>1495000</v>
      </c>
      <c r="I21" s="29">
        <f t="shared" ref="I21" si="110">I7+I14</f>
        <v>347</v>
      </c>
      <c r="J21" s="16" t="s">
        <v>19</v>
      </c>
      <c r="L21" s="497"/>
      <c r="M21" s="27" t="s">
        <v>2</v>
      </c>
      <c r="N21" s="8">
        <f t="shared" si="73"/>
        <v>125</v>
      </c>
      <c r="O21" s="8">
        <f t="shared" si="73"/>
        <v>425</v>
      </c>
      <c r="P21" s="21">
        <f t="shared" si="74"/>
        <v>3.4</v>
      </c>
      <c r="Q21" s="20">
        <f t="shared" si="75"/>
        <v>107.35294117647059</v>
      </c>
      <c r="R21" s="8">
        <f t="shared" si="76"/>
        <v>347</v>
      </c>
      <c r="S21" s="45">
        <f t="shared" si="77"/>
        <v>4308.3573487031699</v>
      </c>
      <c r="T21" s="66">
        <f t="shared" si="78"/>
        <v>107.35294117647059</v>
      </c>
      <c r="U21" s="8">
        <f t="shared" si="79"/>
        <v>425</v>
      </c>
      <c r="V21" s="21">
        <f t="shared" si="80"/>
        <v>3.4</v>
      </c>
      <c r="W21" s="20">
        <f>U21*'2.Data Input'!E22</f>
        <v>347</v>
      </c>
      <c r="X21" s="7">
        <f>IFERROR('2.Data Input'!E10/Formulas!W21,0)</f>
        <v>4308.3573487031699</v>
      </c>
      <c r="Z21" s="497"/>
      <c r="AA21" s="27" t="s">
        <v>2</v>
      </c>
      <c r="AB21" s="52">
        <f t="shared" si="81"/>
        <v>125</v>
      </c>
      <c r="AC21" s="52">
        <f t="shared" si="82"/>
        <v>425</v>
      </c>
      <c r="AD21" s="16">
        <f t="shared" si="83"/>
        <v>347</v>
      </c>
      <c r="AE21" s="53">
        <f>'2.Data Input'!E28</f>
        <v>5.4755043227665709E-2</v>
      </c>
      <c r="AF21" s="16">
        <f t="shared" si="84"/>
        <v>328</v>
      </c>
      <c r="AG21" s="28">
        <f t="shared" si="85"/>
        <v>4308.3573487031699</v>
      </c>
      <c r="AH21" s="126">
        <f>'2.Data Input'!E28</f>
        <v>5.4755043227665709E-2</v>
      </c>
      <c r="AI21" s="55">
        <f t="shared" si="86"/>
        <v>0.81647058823529417</v>
      </c>
      <c r="AJ21" s="16">
        <f t="shared" si="87"/>
        <v>347</v>
      </c>
      <c r="AK21" s="28">
        <f t="shared" si="88"/>
        <v>4308.3573487031699</v>
      </c>
      <c r="AL21" s="29">
        <f t="shared" si="89"/>
        <v>328</v>
      </c>
      <c r="AM21" s="28">
        <f>D21/AL21</f>
        <v>4557.9268292682927</v>
      </c>
      <c r="AO21" s="497"/>
      <c r="AP21" s="27" t="s">
        <v>2</v>
      </c>
      <c r="AQ21" s="52">
        <f t="shared" si="90"/>
        <v>125</v>
      </c>
      <c r="AR21" s="52">
        <f t="shared" si="65"/>
        <v>425</v>
      </c>
      <c r="AS21" s="52">
        <f t="shared" si="65"/>
        <v>347</v>
      </c>
      <c r="AT21" s="126">
        <f t="shared" si="65"/>
        <v>5.4755043227665709E-2</v>
      </c>
      <c r="AU21" s="52">
        <f t="shared" si="65"/>
        <v>328</v>
      </c>
      <c r="AV21" s="52">
        <f t="shared" si="65"/>
        <v>4308.3573487031699</v>
      </c>
      <c r="AW21" s="126">
        <f>'2.Data Input'!E22</f>
        <v>0.81647058823529417</v>
      </c>
      <c r="AX21" s="55">
        <f t="shared" si="91"/>
        <v>5.4755043227665709E-2</v>
      </c>
      <c r="AY21" s="16">
        <f t="shared" si="92"/>
        <v>347</v>
      </c>
      <c r="AZ21" s="28">
        <f>S21/AY21</f>
        <v>12.416015414130174</v>
      </c>
      <c r="BA21" s="29">
        <f t="shared" si="93"/>
        <v>328</v>
      </c>
      <c r="BB21" s="28">
        <f>S21/BA21</f>
        <v>13.135235819216982</v>
      </c>
      <c r="BD21" s="497"/>
      <c r="BE21" s="27" t="s">
        <v>2</v>
      </c>
      <c r="BF21" s="52">
        <f t="shared" si="94"/>
        <v>347</v>
      </c>
      <c r="BG21" s="28">
        <f t="shared" si="95"/>
        <v>4308.3573487031699</v>
      </c>
      <c r="BH21" s="102">
        <f>'10.Summary of Changes'!O101</f>
        <v>1495000</v>
      </c>
      <c r="BI21" s="103">
        <f t="shared" si="96"/>
        <v>107.35294117647059</v>
      </c>
      <c r="BJ21" s="55">
        <f>IF('10.Summary of Changes'!N108="",'10.Summary of Changes'!M108,'10.Summary of Changes'!N108)</f>
        <v>0.81647058823529417</v>
      </c>
      <c r="BK21" s="55">
        <f>'10.Summary of Changes'!N113</f>
        <v>5.4755043227665709E-2</v>
      </c>
      <c r="BL21" s="52">
        <f t="shared" si="97"/>
        <v>125</v>
      </c>
      <c r="BM21" s="105">
        <f t="shared" si="98"/>
        <v>3.4</v>
      </c>
      <c r="BN21" s="52">
        <f t="shared" si="99"/>
        <v>425</v>
      </c>
      <c r="BO21" s="52">
        <f t="shared" si="99"/>
        <v>347</v>
      </c>
      <c r="BP21" s="52">
        <f t="shared" si="99"/>
        <v>328</v>
      </c>
      <c r="BQ21" s="30">
        <f t="shared" si="100"/>
        <v>4308.3573487031699</v>
      </c>
      <c r="BS21" s="497"/>
      <c r="BT21" s="27" t="s">
        <v>2</v>
      </c>
      <c r="BU21" s="52">
        <f t="shared" si="101"/>
        <v>347</v>
      </c>
      <c r="BV21" s="28">
        <f t="shared" si="102"/>
        <v>4308.3573487031699</v>
      </c>
      <c r="BW21" s="102">
        <f>'11.Change All Calculator'!Q16</f>
        <v>1495000</v>
      </c>
      <c r="BX21" s="103">
        <f t="shared" si="103"/>
        <v>107.35294117647059</v>
      </c>
      <c r="BY21" s="169">
        <f t="shared" si="104"/>
        <v>0.81</v>
      </c>
      <c r="BZ21" s="55">
        <f t="shared" si="105"/>
        <v>5.4755043227665709E-2</v>
      </c>
      <c r="CA21" s="52">
        <f t="shared" si="106"/>
        <v>125</v>
      </c>
      <c r="CB21" s="105">
        <f t="shared" si="107"/>
        <v>3.4</v>
      </c>
      <c r="CC21" s="52">
        <f t="shared" si="108"/>
        <v>425</v>
      </c>
      <c r="CD21" s="52">
        <f t="shared" si="108"/>
        <v>347</v>
      </c>
      <c r="CE21" s="52">
        <f t="shared" si="108"/>
        <v>328</v>
      </c>
      <c r="CF21" s="30">
        <f t="shared" si="109"/>
        <v>4308.3573487031699</v>
      </c>
      <c r="CH21"/>
    </row>
    <row r="22" spans="2:94" ht="16.5" customHeight="1" x14ac:dyDescent="0.2">
      <c r="B22" s="497"/>
      <c r="C22" s="27" t="s">
        <v>17</v>
      </c>
      <c r="D22" s="28">
        <f t="shared" si="68"/>
        <v>4000000</v>
      </c>
      <c r="E22" s="28" t="s">
        <v>19</v>
      </c>
      <c r="F22" s="30" t="s">
        <v>19</v>
      </c>
      <c r="G22" s="54">
        <f t="shared" si="70"/>
        <v>0</v>
      </c>
      <c r="H22" s="28">
        <f t="shared" si="71"/>
        <v>4000000</v>
      </c>
      <c r="I22" s="16" t="s">
        <v>19</v>
      </c>
      <c r="J22" s="29">
        <f>IFERROR(J8+J15,"")</f>
        <v>0</v>
      </c>
      <c r="BD22" s="497"/>
      <c r="BE22" s="106" t="s">
        <v>17</v>
      </c>
      <c r="BH22" s="102">
        <f>'10.Summary of Changes'!O102</f>
        <v>4000000</v>
      </c>
      <c r="BL22" s="52">
        <f t="shared" si="97"/>
        <v>265</v>
      </c>
      <c r="BS22" s="497"/>
      <c r="BT22" s="106" t="s">
        <v>17</v>
      </c>
      <c r="BW22" s="102">
        <f>'11.Change All Calculator'!Q17</f>
        <v>4000000</v>
      </c>
      <c r="CA22" s="52">
        <f t="shared" si="106"/>
        <v>265</v>
      </c>
    </row>
    <row r="23" spans="2:94" ht="16.5" customHeight="1" x14ac:dyDescent="0.2">
      <c r="Q23" s="67"/>
      <c r="CA23" s="67"/>
      <c r="CB23" s="67"/>
      <c r="CC23" s="67"/>
      <c r="CD23" s="67"/>
      <c r="CE23" s="67"/>
    </row>
    <row r="24" spans="2:94" s="23" customFormat="1" ht="16.5" customHeight="1" x14ac:dyDescent="0.2">
      <c r="C24" s="37" t="s">
        <v>43</v>
      </c>
      <c r="G24" s="489" t="s">
        <v>84</v>
      </c>
      <c r="H24" s="489"/>
      <c r="I24" s="489"/>
      <c r="K24"/>
      <c r="M24" s="37" t="s">
        <v>43</v>
      </c>
      <c r="N24"/>
      <c r="O24"/>
      <c r="Q24" s="489" t="s">
        <v>84</v>
      </c>
      <c r="R24" s="489"/>
      <c r="S24" s="489"/>
      <c r="AA24" s="37" t="s">
        <v>80</v>
      </c>
      <c r="AB24"/>
      <c r="AC24"/>
      <c r="AE24" s="489" t="s">
        <v>84</v>
      </c>
      <c r="AF24" s="489"/>
      <c r="AG24" s="489"/>
      <c r="AH24"/>
      <c r="AN24"/>
      <c r="AO24" s="15"/>
      <c r="AP24" s="15"/>
      <c r="AQ24" s="15"/>
      <c r="AR24" s="15"/>
      <c r="AS24" s="15"/>
      <c r="AT24" s="483" t="s">
        <v>84</v>
      </c>
      <c r="AU24" s="484"/>
      <c r="AV24"/>
      <c r="AW24"/>
      <c r="AX24" s="15"/>
      <c r="AY24"/>
      <c r="AZ24"/>
      <c r="BA24"/>
      <c r="BB24"/>
      <c r="BE24" s="37" t="s">
        <v>43</v>
      </c>
      <c r="BF24"/>
      <c r="BH24"/>
      <c r="BI24" s="483" t="s">
        <v>84</v>
      </c>
      <c r="BJ24" s="490"/>
      <c r="BK24" s="484"/>
      <c r="BL24"/>
      <c r="BM24"/>
      <c r="BN24"/>
      <c r="BO24"/>
      <c r="BP24"/>
      <c r="BT24" s="37" t="s">
        <v>43</v>
      </c>
      <c r="BU24"/>
      <c r="BV24"/>
      <c r="BX24" s="489" t="s">
        <v>84</v>
      </c>
      <c r="BY24" s="489"/>
      <c r="BZ24" s="489"/>
      <c r="CA24" s="67"/>
      <c r="CB24" s="67"/>
      <c r="CC24" s="67"/>
      <c r="CD24" s="67"/>
      <c r="CE24" s="67"/>
      <c r="CM24" s="32"/>
      <c r="CN24" s="108" t="s">
        <v>15</v>
      </c>
      <c r="CO24" s="108" t="s">
        <v>76</v>
      </c>
      <c r="CP24" s="108" t="s">
        <v>77</v>
      </c>
    </row>
    <row r="25" spans="2:94" s="23" customFormat="1" ht="16.5" customHeight="1" x14ac:dyDescent="0.2">
      <c r="C25" s="10"/>
      <c r="D25" s="35" t="s">
        <v>9</v>
      </c>
      <c r="E25" s="35" t="s">
        <v>10</v>
      </c>
      <c r="F25" s="43" t="s">
        <v>55</v>
      </c>
      <c r="G25" s="35" t="s">
        <v>9</v>
      </c>
      <c r="H25" s="35" t="s">
        <v>10</v>
      </c>
      <c r="I25" s="43" t="s">
        <v>55</v>
      </c>
      <c r="K25"/>
      <c r="M25" s="6"/>
      <c r="N25" s="35" t="s">
        <v>9</v>
      </c>
      <c r="O25" s="35" t="s">
        <v>10</v>
      </c>
      <c r="P25" s="117" t="s">
        <v>55</v>
      </c>
      <c r="Q25" s="35" t="s">
        <v>9</v>
      </c>
      <c r="R25" s="35" t="s">
        <v>10</v>
      </c>
      <c r="S25" s="43" t="s">
        <v>55</v>
      </c>
      <c r="AA25" s="6"/>
      <c r="AB25" s="35" t="s">
        <v>9</v>
      </c>
      <c r="AC25" s="35" t="s">
        <v>10</v>
      </c>
      <c r="AD25" s="117" t="s">
        <v>55</v>
      </c>
      <c r="AE25" s="35" t="s">
        <v>9</v>
      </c>
      <c r="AF25" s="35" t="s">
        <v>10</v>
      </c>
      <c r="AG25" s="43" t="s">
        <v>55</v>
      </c>
      <c r="AH25"/>
      <c r="AN25"/>
      <c r="AO25" s="15"/>
      <c r="AP25" s="15"/>
      <c r="AQ25" s="43" t="s">
        <v>5</v>
      </c>
      <c r="AR25" s="43" t="s">
        <v>6</v>
      </c>
      <c r="AS25" s="43" t="s">
        <v>55</v>
      </c>
      <c r="AT25" s="43" t="s">
        <v>5</v>
      </c>
      <c r="AU25" s="43" t="s">
        <v>6</v>
      </c>
      <c r="AV25"/>
      <c r="AW25"/>
      <c r="AX25" s="15"/>
      <c r="AY25"/>
      <c r="AZ25"/>
      <c r="BA25"/>
      <c r="BB25"/>
      <c r="BE25" s="6"/>
      <c r="BF25" s="35" t="s">
        <v>9</v>
      </c>
      <c r="BG25" s="35" t="s">
        <v>10</v>
      </c>
      <c r="BH25" s="43" t="s">
        <v>55</v>
      </c>
      <c r="BI25" s="35" t="s">
        <v>9</v>
      </c>
      <c r="BJ25" s="35" t="s">
        <v>10</v>
      </c>
      <c r="BK25" s="43" t="s">
        <v>55</v>
      </c>
      <c r="BL25"/>
      <c r="BM25"/>
      <c r="BN25"/>
      <c r="BT25" s="6"/>
      <c r="BU25" s="35" t="s">
        <v>9</v>
      </c>
      <c r="BV25" s="35" t="s">
        <v>10</v>
      </c>
      <c r="BW25" s="117" t="s">
        <v>55</v>
      </c>
      <c r="BX25" s="35" t="s">
        <v>9</v>
      </c>
      <c r="BY25" s="35" t="s">
        <v>10</v>
      </c>
      <c r="BZ25" s="43" t="s">
        <v>55</v>
      </c>
      <c r="CA25" s="67"/>
      <c r="CB25" s="67"/>
      <c r="CC25" s="67"/>
      <c r="CD25" s="67"/>
      <c r="CE25" s="67"/>
      <c r="CM25" s="497" t="s">
        <v>40</v>
      </c>
      <c r="CN25" s="27" t="s">
        <v>12</v>
      </c>
      <c r="CO25" s="30">
        <f>CP4/'2.Data Input'!C13</f>
        <v>1616.1616161616162</v>
      </c>
      <c r="CP25" s="30">
        <f>CP4/'2.Data Input'!C19</f>
        <v>7960.1990049751248</v>
      </c>
    </row>
    <row r="26" spans="2:94" s="23" customFormat="1" ht="16.5" customHeight="1" x14ac:dyDescent="0.2">
      <c r="B26" s="485" t="s">
        <v>324</v>
      </c>
      <c r="C26" s="47" t="s">
        <v>32</v>
      </c>
      <c r="D26" s="39">
        <f>E5</f>
        <v>265</v>
      </c>
      <c r="E26" s="39">
        <f>I5</f>
        <v>265</v>
      </c>
      <c r="F26" s="118" t="str">
        <f>IFERROR(IF(D26=E26,"",IF(E26&gt;D26,CONCATENATE($A$3,TEXT((E26-D26),"##")),TEXT((E26-D26),"##"))),"")</f>
        <v/>
      </c>
      <c r="G26" s="52">
        <f>D26</f>
        <v>265</v>
      </c>
      <c r="H26" s="52">
        <f>E26</f>
        <v>265</v>
      </c>
      <c r="I26" s="16" t="str">
        <f>IF(G26=H26,"",IF(H26&gt;G26,CONCATENATE($A$1,TEXT(((H26-G26)/G26),"##%")),CONCATENATE($A$2,TEXT(((H26-G26)/G26),"##%"))))</f>
        <v/>
      </c>
      <c r="J26" s="498" t="str">
        <f>IF(I29="","",CONCATENATE("Overall ",I29))</f>
        <v/>
      </c>
      <c r="K26"/>
      <c r="L26" s="485" t="s">
        <v>325</v>
      </c>
      <c r="M26" s="47" t="s">
        <v>32</v>
      </c>
      <c r="N26" s="48">
        <f>R5</f>
        <v>265</v>
      </c>
      <c r="O26" s="48">
        <f>W5</f>
        <v>265</v>
      </c>
      <c r="P26" s="118" t="str">
        <f>IF(N26=O26,"",IF(O26&gt;N26,CONCATENATE($A$3,TEXT((O26-N26),"##")),TEXT((O26-N26),"##")))</f>
        <v/>
      </c>
      <c r="Q26" s="52">
        <f>N26</f>
        <v>265</v>
      </c>
      <c r="R26" s="52">
        <f>O26</f>
        <v>265</v>
      </c>
      <c r="S26" s="16" t="str">
        <f>IF(Q26=R26,"",IF(R26&gt;Q26,CONCATENATE($A$1,TEXT(((R26-Q26)/Q26),"##%")),CONCATENATE($A$2,TEXT(((R26-Q26)/Q26),"##%"))))</f>
        <v/>
      </c>
      <c r="T26" s="499" t="str">
        <f>IF(S29="","",CONCATENATE("Overall ",S29))</f>
        <v/>
      </c>
      <c r="Z26" s="485" t="s">
        <v>326</v>
      </c>
      <c r="AA26" s="47" t="s">
        <v>32</v>
      </c>
      <c r="AB26" s="48">
        <f>AD5</f>
        <v>265</v>
      </c>
      <c r="AC26" s="48">
        <f>AJ5</f>
        <v>265</v>
      </c>
      <c r="AD26" s="118" t="str">
        <f>IF(AB26=AC26,"",IF(AC26&gt;AB26,CONCATENATE($A$3,TEXT((AC26-AB26),"##")),TEXT((AC26-AB26),"##")))</f>
        <v/>
      </c>
      <c r="AE26" s="52">
        <f>AB26</f>
        <v>265</v>
      </c>
      <c r="AF26" s="52">
        <f>AC26</f>
        <v>265</v>
      </c>
      <c r="AG26" s="16" t="str">
        <f>IF(AE26=AF26,"",IF(AF26&gt;AE26,CONCATENATE($A$1,TEXT(((AF26-AE26)/AE26),"##%")),CONCATENATE($A$2,TEXT(((AF26-AE26)/AE26),"##%"))))</f>
        <v/>
      </c>
      <c r="AH26" s="498" t="str">
        <f>IF(AG29="","",CONCATENATE("Overall ",AG29))</f>
        <v/>
      </c>
      <c r="AN26"/>
      <c r="AO26" s="485" t="s">
        <v>327</v>
      </c>
      <c r="AP26" s="47" t="s">
        <v>32</v>
      </c>
      <c r="AQ26" s="53">
        <f>AT5</f>
        <v>0.14716981132075471</v>
      </c>
      <c r="AR26" s="53">
        <f>AX5</f>
        <v>0.14716981132075471</v>
      </c>
      <c r="AS26" s="16" t="str">
        <f>IF(AQ26=AR26,"",IF(AR26&gt;AQ26,CONCATENATE($A$1,TEXT(((AR26-AQ26)/AQ26),"##%")),CONCATENATE($A$2,TEXT(((AR26-AQ26)/AQ26),"##%"))))</f>
        <v/>
      </c>
      <c r="AT26" s="53">
        <f>AQ26</f>
        <v>0.14716981132075471</v>
      </c>
      <c r="AU26" s="53">
        <f>AR26</f>
        <v>0.14716981132075471</v>
      </c>
      <c r="AV26" s="517" t="str">
        <f>BK75</f>
        <v/>
      </c>
      <c r="AW26" s="127"/>
      <c r="AX26" s="15"/>
      <c r="AY26"/>
      <c r="AZ26"/>
      <c r="BA26"/>
      <c r="BB26"/>
      <c r="BD26" s="485" t="s">
        <v>328</v>
      </c>
      <c r="BE26" s="47" t="s">
        <v>32</v>
      </c>
      <c r="BF26" s="48">
        <f>BF5</f>
        <v>265</v>
      </c>
      <c r="BG26" s="48">
        <f>BO5</f>
        <v>265</v>
      </c>
      <c r="BH26" s="118" t="str">
        <f>IF(BF26=BG26,"",IF(BG26&gt;BF26,CONCATENATE($A$3,TEXT((BG26-BF26),"##")),TEXT((BG26-BF26),"##")))</f>
        <v/>
      </c>
      <c r="BI26" s="52">
        <f t="shared" ref="BI26:BJ29" si="111">BF26</f>
        <v>265</v>
      </c>
      <c r="BJ26" s="52">
        <f t="shared" si="111"/>
        <v>265</v>
      </c>
      <c r="BK26" s="16" t="str">
        <f>IF(BI26=BJ26,"",IF(BJ26&gt;BI26,CONCATENATE($A$1,TEXT(((BJ26-BI26)/BI26),"##%")),CONCATENATE($A$2,TEXT(((BJ26-BI26)/BI26),"##%"))))</f>
        <v/>
      </c>
      <c r="BL26" s="494" t="str">
        <f>IF(BK29="","",CONCATENATE("Overall ",BK29))</f>
        <v/>
      </c>
      <c r="BM26"/>
      <c r="BS26" s="485" t="s">
        <v>329</v>
      </c>
      <c r="BT26" s="47" t="s">
        <v>32</v>
      </c>
      <c r="BU26" s="48">
        <f>BU5</f>
        <v>265</v>
      </c>
      <c r="BV26" s="48">
        <f>CD5</f>
        <v>265</v>
      </c>
      <c r="BW26" s="118" t="str">
        <f>IF(BU26=BV26,"",IF(BV26&gt;BU26,CONCATENATE($A$3,TEXT((BV26-BU26),"#,###")),TEXT((BV26-BU26),"##")))</f>
        <v/>
      </c>
      <c r="BX26" s="52">
        <f>BU26</f>
        <v>265</v>
      </c>
      <c r="BY26" s="52">
        <f>BV26</f>
        <v>265</v>
      </c>
      <c r="BZ26" s="16" t="str">
        <f>IF(BX26=BY26,"",IF(BY26&gt;BX26,CONCATENATE($A$1,TEXT(((BY26-BX26)/BX26),"##%")),CONCATENATE($A$2,TEXT(((BY26-BX26)/BX26),"##%"))))</f>
        <v/>
      </c>
      <c r="CA26" s="498" t="str">
        <f>IF(BZ29="","",CONCATENATE("Overall ",BZ29))</f>
        <v/>
      </c>
      <c r="CM26" s="497"/>
      <c r="CN26" s="27" t="s">
        <v>3</v>
      </c>
      <c r="CO26" s="30">
        <f>CP5/'2.Data Input'!D13</f>
        <v>9230.7692307692305</v>
      </c>
      <c r="CP26" s="30">
        <f>CP5/'2.Data Input'!D19</f>
        <v>18750</v>
      </c>
    </row>
    <row r="27" spans="2:94" s="23" customFormat="1" ht="16.5" customHeight="1" x14ac:dyDescent="0.2">
      <c r="B27" s="486"/>
      <c r="C27" s="47" t="s">
        <v>33</v>
      </c>
      <c r="D27" s="39">
        <f>E6</f>
        <v>98</v>
      </c>
      <c r="E27" s="39">
        <f t="shared" ref="E27:E28" si="112">I6</f>
        <v>98</v>
      </c>
      <c r="F27" s="118" t="str">
        <f t="shared" ref="F27:F29" si="113">IFERROR(IF(D27=E27,"",IF(E27&gt;D27,CONCATENATE($A$3,TEXT((E27-D27),"##")),TEXT((E27-D27),"##"))),"")</f>
        <v/>
      </c>
      <c r="G27" s="52">
        <f t="shared" ref="G27:G29" si="114">D27</f>
        <v>98</v>
      </c>
      <c r="H27" s="52">
        <f t="shared" ref="H27:H29" si="115">E27</f>
        <v>98</v>
      </c>
      <c r="I27" s="16" t="str">
        <f t="shared" ref="I27:I29" si="116">IF(G27=H27,"",IF(H27&gt;G27,CONCATENATE($A$1,TEXT(((H27-G27)/G27),"##%")),CONCATENATE($A$2,TEXT(((H27-G27)/G27),"##%"))))</f>
        <v/>
      </c>
      <c r="J27" s="498"/>
      <c r="K27"/>
      <c r="L27" s="486"/>
      <c r="M27" s="47" t="s">
        <v>33</v>
      </c>
      <c r="N27" s="48">
        <f>R6</f>
        <v>98</v>
      </c>
      <c r="O27" s="48">
        <f>W6</f>
        <v>97.999999999999986</v>
      </c>
      <c r="P27" s="118" t="str">
        <f t="shared" ref="P27:P29" si="117">IF(N27=O27,"",IF(O27&gt;N27,CONCATENATE($A$3,TEXT((O27-N27),"##")),TEXT((O27-N27),"##")))</f>
        <v/>
      </c>
      <c r="Q27" s="52">
        <f t="shared" ref="Q27:Q29" si="118">N27</f>
        <v>98</v>
      </c>
      <c r="R27" s="52">
        <f t="shared" ref="R27:R29" si="119">O27</f>
        <v>97.999999999999986</v>
      </c>
      <c r="S27" s="16" t="str">
        <f t="shared" ref="S27:S29" si="120">IF(Q27=R27,"",IF(R27&gt;Q27,CONCATENATE($A$1,TEXT(((R27-Q27)/Q27),"##%")),CONCATENATE($A$2,TEXT(((R27-Q27)/Q27),"##%"))))</f>
        <v/>
      </c>
      <c r="T27" s="499"/>
      <c r="Z27" s="486"/>
      <c r="AA27" s="47" t="s">
        <v>33</v>
      </c>
      <c r="AB27" s="48">
        <f t="shared" ref="AB27:AB28" si="121">AD6</f>
        <v>98</v>
      </c>
      <c r="AC27" s="48">
        <f t="shared" ref="AC27:AC28" si="122">AJ6</f>
        <v>98</v>
      </c>
      <c r="AD27" s="118" t="str">
        <f t="shared" ref="AD27:AD29" si="123">IF(AB27=AC27,"",IF(AC27&gt;AB27,CONCATENATE($A$3,TEXT((AC27-AB27),"##")),TEXT((AC27-AB27),"##")))</f>
        <v/>
      </c>
      <c r="AE27" s="52">
        <f t="shared" ref="AE27:AE29" si="124">AB27</f>
        <v>98</v>
      </c>
      <c r="AF27" s="52">
        <f t="shared" ref="AF27:AF29" si="125">AC27</f>
        <v>98</v>
      </c>
      <c r="AG27" s="16" t="str">
        <f t="shared" ref="AG27:AG29" si="126">IF(AE27=AF27,"",IF(AF27&gt;AE27,CONCATENATE($A$1,TEXT(((AF27-AE27)/AE27),"##%")),CONCATENATE($A$2,TEXT(((AF27-AE27)/AE27),"##%"))))</f>
        <v/>
      </c>
      <c r="AH27" s="498"/>
      <c r="AN27"/>
      <c r="AO27" s="486"/>
      <c r="AP27" s="47" t="s">
        <v>33</v>
      </c>
      <c r="AQ27" s="53">
        <f t="shared" ref="AQ27:AQ28" si="127">AT6</f>
        <v>7.1428571428571425E-2</v>
      </c>
      <c r="AR27" s="53">
        <f t="shared" ref="AR27:AR28" si="128">AX6</f>
        <v>7.1428571428571425E-2</v>
      </c>
      <c r="AS27" s="16" t="str">
        <f t="shared" ref="AS27:AS29" si="129">IF(AQ27=AR27,"",IF(AR27&gt;AQ27,CONCATENATE($A$1,TEXT(((AR27-AQ27)/AQ27),"##%")),CONCATENATE($A$2,TEXT(((AR27-AQ27)/AQ27),"##%"))))</f>
        <v/>
      </c>
      <c r="AT27" s="53">
        <f t="shared" ref="AT27:AT29" si="130">AQ27</f>
        <v>7.1428571428571425E-2</v>
      </c>
      <c r="AU27" s="53">
        <f t="shared" ref="AU27:AU29" si="131">AR27</f>
        <v>7.1428571428571425E-2</v>
      </c>
      <c r="AV27" s="517"/>
      <c r="AW27"/>
      <c r="AX27" s="15"/>
      <c r="AY27"/>
      <c r="AZ27"/>
      <c r="BA27"/>
      <c r="BB27"/>
      <c r="BD27" s="486"/>
      <c r="BE27" s="47" t="s">
        <v>33</v>
      </c>
      <c r="BF27" s="48">
        <f t="shared" ref="BF27:BF28" si="132">BF6</f>
        <v>98</v>
      </c>
      <c r="BG27" s="48">
        <f t="shared" ref="BG27:BG28" si="133">BO6</f>
        <v>97.999999999999986</v>
      </c>
      <c r="BH27" s="118" t="str">
        <f t="shared" ref="BH27:BH29" si="134">IF(BF27=BG27,"",IF(BG27&gt;BF27,CONCATENATE($A$3,TEXT((BG27-BF27),"##")),TEXT((BG27-BF27),"##")))</f>
        <v/>
      </c>
      <c r="BI27" s="52">
        <f t="shared" si="111"/>
        <v>98</v>
      </c>
      <c r="BJ27" s="52">
        <f t="shared" si="111"/>
        <v>97.999999999999986</v>
      </c>
      <c r="BK27" s="16" t="str">
        <f t="shared" ref="BK27:BK29" si="135">IF(BI27=BJ27,"",IF(BJ27&gt;BI27,CONCATENATE($A$1,TEXT(((BJ27-BI27)/BI27),"##%")),CONCATENATE($A$2,TEXT(((BJ27-BI27)/BI27),"##%"))))</f>
        <v/>
      </c>
      <c r="BL27" s="495"/>
      <c r="BM27"/>
      <c r="BS27" s="486"/>
      <c r="BT27" s="47" t="s">
        <v>33</v>
      </c>
      <c r="BU27" s="48">
        <f t="shared" ref="BU27:BU28" si="136">BU6</f>
        <v>98</v>
      </c>
      <c r="BV27" s="48">
        <f t="shared" ref="BV27:BV28" si="137">CD6</f>
        <v>97.999999999999986</v>
      </c>
      <c r="BW27" s="118" t="str">
        <f t="shared" ref="BW27:BW29" si="138">IF(BU27=BV27,"",IF(BV27&gt;BU27,CONCATENATE($A$3,TEXT((BV27-BU27),"#,###")),TEXT((BV27-BU27),"##")))</f>
        <v/>
      </c>
      <c r="BX27" s="52">
        <f t="shared" ref="BX27:BX29" si="139">BU27</f>
        <v>98</v>
      </c>
      <c r="BY27" s="52">
        <f t="shared" ref="BY27:BY29" si="140">BV27</f>
        <v>97.999999999999986</v>
      </c>
      <c r="BZ27" s="16" t="str">
        <f t="shared" ref="BZ27:BZ29" si="141">IF(BX27=BY27,"",IF(BY27&gt;BX27,CONCATENATE($A$1,TEXT(((BY27-BX27)/BX27),"##%")),CONCATENATE($A$2,TEXT(((BY27-BX27)/BX27),"##%"))))</f>
        <v/>
      </c>
      <c r="CA27" s="498"/>
      <c r="CM27" s="497"/>
      <c r="CN27" s="27" t="s">
        <v>2</v>
      </c>
      <c r="CO27" s="30">
        <f>CP6/'2.Data Input'!E13</f>
        <v>3517.6470588235293</v>
      </c>
      <c r="CP27" s="30">
        <f>CP6/'2.Data Input'!E19</f>
        <v>4308.3573487031699</v>
      </c>
    </row>
    <row r="28" spans="2:94" s="23" customFormat="1" ht="16.5" customHeight="1" x14ac:dyDescent="0.2">
      <c r="B28" s="486"/>
      <c r="C28" s="47" t="s">
        <v>54</v>
      </c>
      <c r="D28" s="39">
        <f>E7</f>
        <v>112</v>
      </c>
      <c r="E28" s="39">
        <f t="shared" si="112"/>
        <v>112</v>
      </c>
      <c r="F28" s="118" t="str">
        <f t="shared" si="113"/>
        <v/>
      </c>
      <c r="G28" s="52">
        <f t="shared" si="114"/>
        <v>112</v>
      </c>
      <c r="H28" s="52">
        <f t="shared" si="115"/>
        <v>112</v>
      </c>
      <c r="I28" s="16" t="str">
        <f t="shared" si="116"/>
        <v/>
      </c>
      <c r="J28" s="498"/>
      <c r="K28"/>
      <c r="L28" s="486"/>
      <c r="M28" s="47" t="s">
        <v>54</v>
      </c>
      <c r="N28" s="48">
        <f>R7</f>
        <v>112</v>
      </c>
      <c r="O28" s="48">
        <f>W7</f>
        <v>112</v>
      </c>
      <c r="P28" s="118" t="str">
        <f t="shared" si="117"/>
        <v/>
      </c>
      <c r="Q28" s="52">
        <f t="shared" si="118"/>
        <v>112</v>
      </c>
      <c r="R28" s="52">
        <f t="shared" si="119"/>
        <v>112</v>
      </c>
      <c r="S28" s="16" t="str">
        <f t="shared" si="120"/>
        <v/>
      </c>
      <c r="T28" s="499"/>
      <c r="Z28" s="486"/>
      <c r="AA28" s="47" t="s">
        <v>54</v>
      </c>
      <c r="AB28" s="48">
        <f t="shared" si="121"/>
        <v>112</v>
      </c>
      <c r="AC28" s="48">
        <f t="shared" si="122"/>
        <v>112</v>
      </c>
      <c r="AD28" s="118" t="str">
        <f t="shared" si="123"/>
        <v/>
      </c>
      <c r="AE28" s="52">
        <f t="shared" si="124"/>
        <v>112</v>
      </c>
      <c r="AF28" s="52">
        <f t="shared" si="125"/>
        <v>112</v>
      </c>
      <c r="AG28" s="16" t="str">
        <f t="shared" si="126"/>
        <v/>
      </c>
      <c r="AH28" s="498"/>
      <c r="AN28"/>
      <c r="AO28" s="486"/>
      <c r="AP28" s="47" t="s">
        <v>54</v>
      </c>
      <c r="AQ28" s="53">
        <f t="shared" si="127"/>
        <v>8.9285714285714288E-2</v>
      </c>
      <c r="AR28" s="53">
        <f t="shared" si="128"/>
        <v>8.9285714285714288E-2</v>
      </c>
      <c r="AS28" s="16" t="str">
        <f t="shared" si="129"/>
        <v/>
      </c>
      <c r="AT28" s="53">
        <f t="shared" si="130"/>
        <v>8.9285714285714288E-2</v>
      </c>
      <c r="AU28" s="53">
        <f t="shared" si="131"/>
        <v>8.9285714285714288E-2</v>
      </c>
      <c r="AV28" s="517"/>
      <c r="AW28"/>
      <c r="AX28" s="15"/>
      <c r="AY28"/>
      <c r="AZ28"/>
      <c r="BA28"/>
      <c r="BB28"/>
      <c r="BD28" s="486"/>
      <c r="BE28" s="47" t="s">
        <v>54</v>
      </c>
      <c r="BF28" s="48">
        <f t="shared" si="132"/>
        <v>112</v>
      </c>
      <c r="BG28" s="48">
        <f t="shared" si="133"/>
        <v>112</v>
      </c>
      <c r="BH28" s="118" t="str">
        <f t="shared" si="134"/>
        <v/>
      </c>
      <c r="BI28" s="52">
        <f t="shared" si="111"/>
        <v>112</v>
      </c>
      <c r="BJ28" s="52">
        <f t="shared" si="111"/>
        <v>112</v>
      </c>
      <c r="BK28" s="16" t="str">
        <f t="shared" si="135"/>
        <v/>
      </c>
      <c r="BL28" s="495"/>
      <c r="BM28"/>
      <c r="BS28" s="486"/>
      <c r="BT28" s="47" t="s">
        <v>54</v>
      </c>
      <c r="BU28" s="48">
        <f t="shared" si="136"/>
        <v>112</v>
      </c>
      <c r="BV28" s="48">
        <f t="shared" si="137"/>
        <v>112</v>
      </c>
      <c r="BW28" s="118" t="str">
        <f t="shared" si="138"/>
        <v/>
      </c>
      <c r="BX28" s="52">
        <f t="shared" si="139"/>
        <v>112</v>
      </c>
      <c r="BY28" s="52">
        <f t="shared" si="140"/>
        <v>112</v>
      </c>
      <c r="BZ28" s="16" t="str">
        <f t="shared" si="141"/>
        <v/>
      </c>
      <c r="CA28" s="498"/>
    </row>
    <row r="29" spans="2:94" s="23" customFormat="1" ht="16.5" customHeight="1" x14ac:dyDescent="0.2">
      <c r="B29" s="487"/>
      <c r="C29" s="47" t="s">
        <v>118</v>
      </c>
      <c r="D29" s="39">
        <f>SUM(D26:D28)</f>
        <v>475</v>
      </c>
      <c r="E29" s="39">
        <f>SUM(E26:E28)</f>
        <v>475</v>
      </c>
      <c r="F29" s="118" t="str">
        <f t="shared" si="113"/>
        <v/>
      </c>
      <c r="G29" s="52">
        <f t="shared" si="114"/>
        <v>475</v>
      </c>
      <c r="H29" s="52">
        <f t="shared" si="115"/>
        <v>475</v>
      </c>
      <c r="I29" s="16" t="str">
        <f t="shared" si="116"/>
        <v/>
      </c>
      <c r="J29" s="498"/>
      <c r="K29"/>
      <c r="L29" s="487"/>
      <c r="M29" s="47" t="s">
        <v>118</v>
      </c>
      <c r="N29" s="48">
        <f>SUM(N26:N28)</f>
        <v>475</v>
      </c>
      <c r="O29" s="48">
        <f>SUM(O26:O28)</f>
        <v>475</v>
      </c>
      <c r="P29" s="118" t="str">
        <f t="shared" si="117"/>
        <v/>
      </c>
      <c r="Q29" s="52">
        <f t="shared" si="118"/>
        <v>475</v>
      </c>
      <c r="R29" s="52">
        <f t="shared" si="119"/>
        <v>475</v>
      </c>
      <c r="S29" s="16" t="str">
        <f t="shared" si="120"/>
        <v/>
      </c>
      <c r="T29" s="499"/>
      <c r="Z29" s="487"/>
      <c r="AA29" s="47" t="s">
        <v>118</v>
      </c>
      <c r="AB29" s="48">
        <f>SUM(AB26:AB28)</f>
        <v>475</v>
      </c>
      <c r="AC29" s="48">
        <f>SUM(AC26:AC28)</f>
        <v>475</v>
      </c>
      <c r="AD29" s="118" t="str">
        <f t="shared" si="123"/>
        <v/>
      </c>
      <c r="AE29" s="52">
        <f t="shared" si="124"/>
        <v>475</v>
      </c>
      <c r="AF29" s="52">
        <f t="shared" si="125"/>
        <v>475</v>
      </c>
      <c r="AG29" s="16" t="str">
        <f t="shared" si="126"/>
        <v/>
      </c>
      <c r="AH29" s="498"/>
      <c r="AN29"/>
      <c r="AO29" s="487"/>
      <c r="AP29" s="47" t="s">
        <v>118</v>
      </c>
      <c r="AQ29" s="53">
        <f>AVERAGE(AQ26:AQ28)</f>
        <v>0.10262803234501348</v>
      </c>
      <c r="AR29" s="53">
        <f>AVERAGE(AR26:AR28)</f>
        <v>0.10262803234501348</v>
      </c>
      <c r="AS29" s="16" t="str">
        <f t="shared" si="129"/>
        <v/>
      </c>
      <c r="AT29" s="53">
        <f t="shared" si="130"/>
        <v>0.10262803234501348</v>
      </c>
      <c r="AU29" s="53">
        <f t="shared" si="131"/>
        <v>0.10262803234501348</v>
      </c>
      <c r="AV29" s="518"/>
      <c r="AW29"/>
      <c r="AX29" s="15"/>
      <c r="AY29"/>
      <c r="AZ29"/>
      <c r="BA29"/>
      <c r="BB29"/>
      <c r="BD29" s="487"/>
      <c r="BE29" s="47" t="s">
        <v>118</v>
      </c>
      <c r="BF29" s="48">
        <f t="shared" ref="BF29:BG29" si="142">SUM(BF26:BF28)</f>
        <v>475</v>
      </c>
      <c r="BG29" s="48">
        <f t="shared" si="142"/>
        <v>475</v>
      </c>
      <c r="BH29" s="118" t="str">
        <f t="shared" si="134"/>
        <v/>
      </c>
      <c r="BI29" s="52">
        <f t="shared" si="111"/>
        <v>475</v>
      </c>
      <c r="BJ29" s="52">
        <f t="shared" si="111"/>
        <v>475</v>
      </c>
      <c r="BK29" s="16" t="str">
        <f t="shared" si="135"/>
        <v/>
      </c>
      <c r="BL29" s="496"/>
      <c r="BM29"/>
      <c r="BS29" s="487"/>
      <c r="BT29" s="47" t="s">
        <v>118</v>
      </c>
      <c r="BU29" s="48">
        <f>SUM(BU26:BU28)</f>
        <v>475</v>
      </c>
      <c r="BV29" s="48">
        <f>SUM(BV26:BV28)</f>
        <v>475</v>
      </c>
      <c r="BW29" s="118" t="str">
        <f t="shared" si="138"/>
        <v/>
      </c>
      <c r="BX29" s="52">
        <f t="shared" si="139"/>
        <v>475</v>
      </c>
      <c r="BY29" s="52">
        <f t="shared" si="140"/>
        <v>475</v>
      </c>
      <c r="BZ29" s="16" t="str">
        <f t="shared" si="141"/>
        <v/>
      </c>
      <c r="CA29" s="498"/>
    </row>
    <row r="30" spans="2:94" s="23" customFormat="1" ht="16.5" customHeight="1" x14ac:dyDescent="0.2">
      <c r="B30"/>
      <c r="C30" s="10"/>
      <c r="D30" s="11"/>
      <c r="E30" s="11"/>
      <c r="K30"/>
      <c r="L30"/>
      <c r="M30" s="6"/>
      <c r="N30" s="6"/>
      <c r="O30" s="6"/>
      <c r="P30" s="14"/>
      <c r="Q30" s="489" t="s">
        <v>84</v>
      </c>
      <c r="R30" s="489"/>
      <c r="S30" s="489"/>
      <c r="Z30"/>
      <c r="AA30" s="6"/>
      <c r="AB30" s="6"/>
      <c r="AC30" s="6"/>
      <c r="AD30" s="32"/>
      <c r="AE30" s="489" t="s">
        <v>84</v>
      </c>
      <c r="AF30" s="489"/>
      <c r="AG30" s="489"/>
      <c r="AH30"/>
      <c r="AN30"/>
      <c r="AO30"/>
      <c r="AP30" s="6"/>
      <c r="AQ30" s="15"/>
      <c r="AR30" s="15"/>
      <c r="AS30" s="15"/>
      <c r="AT30" s="489" t="s">
        <v>84</v>
      </c>
      <c r="AU30" s="489"/>
      <c r="AV30" s="489"/>
      <c r="AW30"/>
      <c r="AX30" s="15"/>
      <c r="AY30"/>
      <c r="AZ30"/>
      <c r="BA30"/>
      <c r="BB30"/>
      <c r="BD30"/>
      <c r="BE30" s="6"/>
      <c r="BF30" s="6"/>
      <c r="BG30" s="6"/>
      <c r="BH30" s="32"/>
      <c r="BI30" s="489" t="s">
        <v>84</v>
      </c>
      <c r="BJ30" s="489"/>
      <c r="BK30" s="489"/>
      <c r="BS30"/>
      <c r="BT30" s="6"/>
      <c r="BU30" s="6"/>
      <c r="BV30" s="6"/>
      <c r="BW30" s="32"/>
      <c r="BX30" s="489" t="s">
        <v>84</v>
      </c>
      <c r="BY30" s="489"/>
      <c r="BZ30" s="489"/>
    </row>
    <row r="31" spans="2:94" ht="16.5" customHeight="1" x14ac:dyDescent="0.2">
      <c r="B31"/>
      <c r="C31" s="10"/>
      <c r="D31" s="36" t="s">
        <v>5</v>
      </c>
      <c r="E31" s="36" t="s">
        <v>26</v>
      </c>
      <c r="F31"/>
      <c r="G31"/>
      <c r="L31"/>
      <c r="M31" s="6"/>
      <c r="N31" s="46" t="s">
        <v>49</v>
      </c>
      <c r="O31" s="46" t="s">
        <v>50</v>
      </c>
      <c r="P31" s="117" t="s">
        <v>55</v>
      </c>
      <c r="Q31" s="35" t="s">
        <v>9</v>
      </c>
      <c r="R31" s="35" t="s">
        <v>10</v>
      </c>
      <c r="S31" s="43" t="s">
        <v>55</v>
      </c>
      <c r="Z31"/>
      <c r="AA31" s="6"/>
      <c r="AB31" s="46" t="s">
        <v>49</v>
      </c>
      <c r="AC31" s="46" t="s">
        <v>50</v>
      </c>
      <c r="AD31" s="117" t="s">
        <v>55</v>
      </c>
      <c r="AE31" s="35" t="s">
        <v>9</v>
      </c>
      <c r="AF31" s="35" t="s">
        <v>10</v>
      </c>
      <c r="AG31" s="43" t="s">
        <v>55</v>
      </c>
      <c r="AH31"/>
      <c r="AP31" s="6"/>
      <c r="AQ31" s="43" t="s">
        <v>5</v>
      </c>
      <c r="AR31" s="43" t="s">
        <v>6</v>
      </c>
      <c r="AS31" s="43" t="s">
        <v>55</v>
      </c>
      <c r="AT31" s="43" t="s">
        <v>5</v>
      </c>
      <c r="AU31" s="43" t="s">
        <v>6</v>
      </c>
      <c r="AV31" s="43" t="s">
        <v>55</v>
      </c>
      <c r="AX31" s="15"/>
      <c r="BD31"/>
      <c r="BE31" s="6"/>
      <c r="BF31" s="46" t="s">
        <v>49</v>
      </c>
      <c r="BG31" s="46" t="s">
        <v>50</v>
      </c>
      <c r="BH31" s="117" t="s">
        <v>55</v>
      </c>
      <c r="BI31" s="35" t="s">
        <v>9</v>
      </c>
      <c r="BJ31" s="35" t="s">
        <v>10</v>
      </c>
      <c r="BK31" s="43" t="s">
        <v>55</v>
      </c>
      <c r="BS31"/>
      <c r="BT31" s="6"/>
      <c r="BU31" s="46" t="s">
        <v>49</v>
      </c>
      <c r="BV31" s="46" t="s">
        <v>50</v>
      </c>
      <c r="BW31" s="117" t="s">
        <v>55</v>
      </c>
      <c r="BX31" s="35" t="s">
        <v>9</v>
      </c>
      <c r="BY31" s="35" t="s">
        <v>10</v>
      </c>
      <c r="BZ31" s="43" t="s">
        <v>55</v>
      </c>
    </row>
    <row r="32" spans="2:94" ht="16.5" customHeight="1" x14ac:dyDescent="0.2">
      <c r="B32" s="491" t="s">
        <v>330</v>
      </c>
      <c r="C32" s="34" t="s">
        <v>121</v>
      </c>
      <c r="D32" s="40">
        <f>'2.Data Input'!F5</f>
        <v>185</v>
      </c>
      <c r="E32" s="40">
        <f>D32</f>
        <v>185</v>
      </c>
      <c r="F32"/>
      <c r="G32"/>
      <c r="L32" s="485" t="s">
        <v>331</v>
      </c>
      <c r="M32" s="47" t="s">
        <v>32</v>
      </c>
      <c r="N32" s="49">
        <f>TRUNC(S5,0)</f>
        <v>7547</v>
      </c>
      <c r="O32" s="49">
        <f>TRUNC(X5,0)</f>
        <v>7547</v>
      </c>
      <c r="P32" s="118" t="str">
        <f>IF(N32=O32,"",IF(O32&gt;N32,CONCATENATE($A$3,TEXT((O32-N32),"$#,###")),TEXT((O32-N32),"$#,###")))</f>
        <v/>
      </c>
      <c r="Q32" s="28">
        <f>N32</f>
        <v>7547</v>
      </c>
      <c r="R32" s="28">
        <f>O32</f>
        <v>7547</v>
      </c>
      <c r="S32" s="16" t="str">
        <f>IF(Q32=R32,"",IF(R32&gt;Q32,CONCATENATE($A$1,TEXT(((R32-Q32)/Q32),"##%")),CONCATENATE($A$2,TEXT(((R32-Q32)/Q32),"##%"))))</f>
        <v/>
      </c>
      <c r="T32" s="499" t="str">
        <f>IF(S35="","",CONCATENATE("Overall ",S35))</f>
        <v/>
      </c>
      <c r="Z32" s="491" t="s">
        <v>332</v>
      </c>
      <c r="AA32" s="47" t="s">
        <v>32</v>
      </c>
      <c r="AB32" s="49">
        <f>TRUNC(N32,0)</f>
        <v>7547</v>
      </c>
      <c r="AC32" s="49">
        <f>TRUNC(AK5,0)</f>
        <v>7547</v>
      </c>
      <c r="AD32" s="118" t="str">
        <f>IF(AB32=AC32,"",IF(AC32&gt;AB32,CONCATENATE($A$3,TEXT((AC32-AB32),"$#,###")),TEXT((AC32-AB32),"$#,###")))</f>
        <v/>
      </c>
      <c r="AE32" s="28">
        <f>AB32</f>
        <v>7547</v>
      </c>
      <c r="AF32" s="28">
        <f>AC32</f>
        <v>7547</v>
      </c>
      <c r="AG32" s="16" t="str">
        <f>IF(AE32=AF32,"",IF(AF32&gt;AE32,CONCATENATE($A$1,TEXT(((AF32-AE32)/AE32),"##%")),CONCATENATE($A$2,TEXT(((AF32-AE32)/AE32),"##%"))))</f>
        <v/>
      </c>
      <c r="AH32" s="498" t="str">
        <f>IF(AG35="","",CONCATENATE("Overall ",AG35))</f>
        <v/>
      </c>
      <c r="AO32" s="485" t="s">
        <v>333</v>
      </c>
      <c r="AP32" s="47" t="s">
        <v>32</v>
      </c>
      <c r="AQ32" s="52">
        <f>AU5</f>
        <v>226</v>
      </c>
      <c r="AR32" s="29">
        <f>BA5</f>
        <v>226</v>
      </c>
      <c r="AS32" s="118" t="str">
        <f>IF(AQ32=AR32,"",IF(AR32&gt;AQ32,CONCATENATE($A$3,TEXT((AR32-AQ32),"#,###")),TEXT((AR32-AQ32),"#,###")))</f>
        <v/>
      </c>
      <c r="AT32" s="29">
        <f>AQ32</f>
        <v>226</v>
      </c>
      <c r="AU32" s="29">
        <f>AR32</f>
        <v>226</v>
      </c>
      <c r="AV32" s="16" t="str">
        <f>IF(AT32=AU32,"",IF(AU32&gt;AT32,CONCATENATE($A$1,TEXT(ROUNDUP((AU32-AT32)/AT32,2),"##%")),CONCATENATE($A$2,TEXT(ROUNDUP((AU32-AT32)/AT32,2),"##%"))))</f>
        <v/>
      </c>
      <c r="AW32" s="498" t="str">
        <f>IF(AV35="","",CONCATENATE("Overall ",AV35))</f>
        <v/>
      </c>
      <c r="BD32" s="485" t="s">
        <v>334</v>
      </c>
      <c r="BE32" s="47" t="s">
        <v>32</v>
      </c>
      <c r="BF32" s="49">
        <f>AB32</f>
        <v>7547</v>
      </c>
      <c r="BG32" s="49">
        <f>TRUNC(BQ5,0)</f>
        <v>7547</v>
      </c>
      <c r="BH32" s="118" t="str">
        <f>IF(BF32=BG32,"",IF(BG32&gt;BF32,CONCATENATE($A$3,TEXT((BG32-BF32),"$#,###")),TEXT((BG32-BF32),"$#,###")))</f>
        <v/>
      </c>
      <c r="BI32" s="28">
        <f>BF32</f>
        <v>7547</v>
      </c>
      <c r="BJ32" s="28">
        <f>BG32</f>
        <v>7547</v>
      </c>
      <c r="BK32" s="16" t="str">
        <f>IF(BI32=BJ32,"",IF(BJ32&gt;BI32,CONCATENATE($A$1,TEXT(((BJ32-BI32)/BI32),"##%")),CONCATENATE($A$2,TEXT(((BJ32-BI32)/BI32),"##%"))))</f>
        <v/>
      </c>
      <c r="BL32" s="498" t="str">
        <f>IF(BK35="","",CONCATENATE("Overall ",BK35))</f>
        <v/>
      </c>
      <c r="BS32" s="491" t="s">
        <v>335</v>
      </c>
      <c r="BT32" s="47" t="s">
        <v>32</v>
      </c>
      <c r="BU32" s="49">
        <f>TRUNC(BV5,0)</f>
        <v>7547</v>
      </c>
      <c r="BV32" s="49">
        <f>TRUNC(CF5,0)</f>
        <v>7547</v>
      </c>
      <c r="BW32" s="118" t="str">
        <f>IF(BU32=BV32,"",IF(BV32&gt;BU32,CONCATENATE($A$3,TEXT((BV32-BU32),"$#,###")),TEXT((BV32-BU32),"$#,###")))</f>
        <v/>
      </c>
      <c r="BX32" s="28">
        <f>BU32</f>
        <v>7547</v>
      </c>
      <c r="BY32" s="28">
        <f>BV32</f>
        <v>7547</v>
      </c>
      <c r="BZ32" s="16" t="str">
        <f>IF(BX32=BY32,"",IF(BY32&gt;BX32,CONCATENATE($A$1,TEXT(((BY32-BX32)/BX32),"##%")),CONCATENATE($A$2,TEXT(((BY32-BX32)/BX32),"##%"))))</f>
        <v/>
      </c>
      <c r="CA32" s="498" t="str">
        <f>IF(BZ35="","",CONCATENATE("Overall ",BZ35))</f>
        <v/>
      </c>
    </row>
    <row r="33" spans="2:79" ht="16.5" customHeight="1" x14ac:dyDescent="0.2">
      <c r="B33" s="493"/>
      <c r="C33" s="33" t="s">
        <v>122</v>
      </c>
      <c r="D33" s="41"/>
      <c r="E33" s="42" t="str">
        <f>IF(TRUNC(J8,0)=0,"",TRUNC(J8,0))</f>
        <v/>
      </c>
      <c r="F33"/>
      <c r="G33"/>
      <c r="L33" s="486"/>
      <c r="M33" s="47" t="s">
        <v>33</v>
      </c>
      <c r="N33" s="49">
        <f t="shared" ref="N33:N34" si="143">TRUNC(S6,0)</f>
        <v>18367</v>
      </c>
      <c r="O33" s="49">
        <f t="shared" ref="O33:O34" si="144">TRUNC(X6,0)</f>
        <v>18367</v>
      </c>
      <c r="P33" s="118" t="str">
        <f t="shared" ref="P33:P35" si="145">IF(N33=O33,"",IF(O33&gt;N33,CONCATENATE($A$3,TEXT((O33-N33),"$#,###")),TEXT((O33-N33),"$#,###")))</f>
        <v/>
      </c>
      <c r="Q33" s="28">
        <f t="shared" ref="Q33:Q35" si="146">N33</f>
        <v>18367</v>
      </c>
      <c r="R33" s="28">
        <f t="shared" ref="R33:R35" si="147">O33</f>
        <v>18367</v>
      </c>
      <c r="S33" s="16" t="str">
        <f t="shared" ref="S33:S35" si="148">IF(Q33=R33,"",IF(R33&gt;Q33,CONCATENATE($A$1,TEXT(((R33-Q33)/Q33),"##%")),CONCATENATE($A$2,TEXT(((R33-Q33)/Q33),"##%"))))</f>
        <v/>
      </c>
      <c r="T33" s="499"/>
      <c r="Z33" s="492"/>
      <c r="AA33" s="47" t="s">
        <v>33</v>
      </c>
      <c r="AB33" s="49">
        <f t="shared" ref="AB33:AB35" si="149">TRUNC(N33,0)</f>
        <v>18367</v>
      </c>
      <c r="AC33" s="49">
        <f t="shared" ref="AC33:AC34" si="150">TRUNC(AK6,0)</f>
        <v>18367</v>
      </c>
      <c r="AD33" s="118" t="str">
        <f t="shared" ref="AD33:AD35" si="151">IF(AB33=AC33,"",IF(AC33&gt;AB33,CONCATENATE($A$3,TEXT((AC33-AB33),"$#,###")),TEXT((AC33-AB33),"$#,###")))</f>
        <v/>
      </c>
      <c r="AE33" s="28">
        <f t="shared" ref="AE33:AE35" si="152">AB33</f>
        <v>18367</v>
      </c>
      <c r="AF33" s="28">
        <f t="shared" ref="AF33:AF35" si="153">AC33</f>
        <v>18367</v>
      </c>
      <c r="AG33" s="16" t="str">
        <f t="shared" ref="AG33:AG35" si="154">IF(AE33=AF33,"",IF(AF33&gt;AE33,CONCATENATE($A$1,TEXT(((AF33-AE33)/AE33),"##%")),CONCATENATE($A$2,TEXT(((AF33-AE33)/AE33),"##%"))))</f>
        <v/>
      </c>
      <c r="AH33" s="498"/>
      <c r="AO33" s="486"/>
      <c r="AP33" s="47" t="s">
        <v>33</v>
      </c>
      <c r="AQ33" s="52">
        <f t="shared" ref="AQ33:AQ34" si="155">AU6</f>
        <v>91</v>
      </c>
      <c r="AR33" s="29">
        <f>BA6</f>
        <v>91</v>
      </c>
      <c r="AS33" s="118" t="str">
        <f t="shared" ref="AS33:AS35" si="156">IF(AQ33=AR33,"",IF(AR33&gt;AQ33,CONCATENATE($A$3,TEXT((AR33-AQ33),"#,###")),TEXT((AR33-AQ33),"#,###")))</f>
        <v/>
      </c>
      <c r="AT33" s="29">
        <f t="shared" ref="AT33:AT35" si="157">AQ33</f>
        <v>91</v>
      </c>
      <c r="AU33" s="29">
        <f t="shared" ref="AU33:AU35" si="158">AR33</f>
        <v>91</v>
      </c>
      <c r="AV33" s="16" t="str">
        <f t="shared" ref="AV33:AV35" si="159">IF(AT33=AU33,"",IF(AU33&gt;AT33,CONCATENATE($A$1,TEXT(ROUNDUP((AU33-AT33)/AT33,2),"##%")),CONCATENATE($A$2,TEXT(ROUNDUP((AU33-AT33)/AT33,2),"##%"))))</f>
        <v/>
      </c>
      <c r="AW33" s="498"/>
      <c r="BD33" s="486"/>
      <c r="BE33" s="47" t="s">
        <v>33</v>
      </c>
      <c r="BF33" s="49">
        <f t="shared" ref="BF33:BF34" si="160">AB33</f>
        <v>18367</v>
      </c>
      <c r="BG33" s="49">
        <f t="shared" ref="BG33:BG34" si="161">TRUNC(BQ6,0)</f>
        <v>18367</v>
      </c>
      <c r="BH33" s="118" t="str">
        <f t="shared" ref="BH33:BH35" si="162">IF(BF33=BG33,"",IF(BG33&gt;BF33,CONCATENATE($A$3,TEXT((BG33-BF33),"$#,###")),TEXT((BG33-BF33),"$#,###")))</f>
        <v/>
      </c>
      <c r="BI33" s="28">
        <f t="shared" ref="BI33:BI35" si="163">BF33</f>
        <v>18367</v>
      </c>
      <c r="BJ33" s="28">
        <f t="shared" ref="BJ33:BJ35" si="164">BG33</f>
        <v>18367</v>
      </c>
      <c r="BK33" s="16" t="str">
        <f t="shared" ref="BK33:BK35" si="165">IF(BI33=BJ33,"",IF(BJ33&gt;BI33,CONCATENATE($A$1,TEXT(((BJ33-BI33)/BI33),"##%")),CONCATENATE($A$2,TEXT(((BJ33-BI33)/BI33),"##%"))))</f>
        <v/>
      </c>
      <c r="BL33" s="498"/>
      <c r="BS33" s="492"/>
      <c r="BT33" s="47" t="s">
        <v>33</v>
      </c>
      <c r="BU33" s="49">
        <f>TRUNC(BV6,0)</f>
        <v>18367</v>
      </c>
      <c r="BV33" s="49">
        <f t="shared" ref="BV33:BV34" si="166">TRUNC(CF6,0)</f>
        <v>18367</v>
      </c>
      <c r="BW33" s="118" t="str">
        <f t="shared" ref="BW33:BW35" si="167">IF(BU33=BV33,"",IF(BV33&gt;BU33,CONCATENATE($A$3,TEXT((BV33-BU33),"$#,###")),TEXT((BV33-BU33),"$#,###")))</f>
        <v/>
      </c>
      <c r="BX33" s="28">
        <f t="shared" ref="BX33:BX35" si="168">BU33</f>
        <v>18367</v>
      </c>
      <c r="BY33" s="28">
        <f t="shared" ref="BY33:BY35" si="169">BV33</f>
        <v>18367</v>
      </c>
      <c r="BZ33" s="16" t="str">
        <f t="shared" ref="BZ33:BZ35" si="170">IF(BX33=BY33,"",IF(BY33&gt;BX33,CONCATENATE($A$1,TEXT(((BY33-BX33)/BX33),"##%")),CONCATENATE($A$2,TEXT(((BY33-BX33)/BX33),"##%"))))</f>
        <v/>
      </c>
      <c r="CA33" s="498"/>
    </row>
    <row r="34" spans="2:79" ht="16.5" customHeight="1" x14ac:dyDescent="0.2">
      <c r="G34"/>
      <c r="L34" s="486"/>
      <c r="M34" s="47" t="s">
        <v>54</v>
      </c>
      <c r="N34" s="49">
        <f t="shared" si="143"/>
        <v>5758</v>
      </c>
      <c r="O34" s="49">
        <f t="shared" si="144"/>
        <v>5758</v>
      </c>
      <c r="P34" s="118" t="str">
        <f t="shared" si="145"/>
        <v/>
      </c>
      <c r="Q34" s="28">
        <f t="shared" si="146"/>
        <v>5758</v>
      </c>
      <c r="R34" s="28">
        <f t="shared" si="147"/>
        <v>5758</v>
      </c>
      <c r="S34" s="16" t="str">
        <f t="shared" si="148"/>
        <v/>
      </c>
      <c r="T34" s="499"/>
      <c r="Z34" s="492"/>
      <c r="AA34" s="47" t="s">
        <v>54</v>
      </c>
      <c r="AB34" s="49">
        <f t="shared" si="149"/>
        <v>5758</v>
      </c>
      <c r="AC34" s="49">
        <f t="shared" si="150"/>
        <v>5758</v>
      </c>
      <c r="AD34" s="118" t="str">
        <f t="shared" si="151"/>
        <v/>
      </c>
      <c r="AE34" s="28">
        <f t="shared" si="152"/>
        <v>5758</v>
      </c>
      <c r="AF34" s="28">
        <f t="shared" si="153"/>
        <v>5758</v>
      </c>
      <c r="AG34" s="16" t="str">
        <f t="shared" si="154"/>
        <v/>
      </c>
      <c r="AH34" s="498"/>
      <c r="AO34" s="486"/>
      <c r="AP34" s="47" t="s">
        <v>54</v>
      </c>
      <c r="AQ34" s="52">
        <f t="shared" si="155"/>
        <v>102</v>
      </c>
      <c r="AR34" s="29">
        <f t="shared" ref="AR34" si="171">BA7</f>
        <v>102</v>
      </c>
      <c r="AS34" s="118" t="str">
        <f t="shared" si="156"/>
        <v/>
      </c>
      <c r="AT34" s="29">
        <f t="shared" si="157"/>
        <v>102</v>
      </c>
      <c r="AU34" s="29">
        <f t="shared" si="158"/>
        <v>102</v>
      </c>
      <c r="AV34" s="16" t="str">
        <f t="shared" si="159"/>
        <v/>
      </c>
      <c r="AW34" s="498"/>
      <c r="BD34" s="486"/>
      <c r="BE34" s="47" t="s">
        <v>54</v>
      </c>
      <c r="BF34" s="49">
        <f t="shared" si="160"/>
        <v>5758</v>
      </c>
      <c r="BG34" s="49">
        <f t="shared" si="161"/>
        <v>5758</v>
      </c>
      <c r="BH34" s="118" t="str">
        <f t="shared" si="162"/>
        <v/>
      </c>
      <c r="BI34" s="28">
        <f t="shared" si="163"/>
        <v>5758</v>
      </c>
      <c r="BJ34" s="28">
        <f t="shared" si="164"/>
        <v>5758</v>
      </c>
      <c r="BK34" s="16" t="str">
        <f t="shared" si="165"/>
        <v/>
      </c>
      <c r="BL34" s="498"/>
      <c r="BS34" s="492"/>
      <c r="BT34" s="47" t="s">
        <v>54</v>
      </c>
      <c r="BU34" s="49">
        <f>TRUNC(BV7,0)</f>
        <v>5758</v>
      </c>
      <c r="BV34" s="49">
        <f t="shared" si="166"/>
        <v>5758</v>
      </c>
      <c r="BW34" s="118" t="str">
        <f t="shared" si="167"/>
        <v/>
      </c>
      <c r="BX34" s="28">
        <f t="shared" si="168"/>
        <v>5758</v>
      </c>
      <c r="BY34" s="28">
        <f t="shared" si="169"/>
        <v>5758</v>
      </c>
      <c r="BZ34" s="16" t="str">
        <f t="shared" si="170"/>
        <v/>
      </c>
      <c r="CA34" s="498"/>
    </row>
    <row r="35" spans="2:79" ht="16.5" customHeight="1" x14ac:dyDescent="0.2">
      <c r="C35" s="37" t="s">
        <v>43</v>
      </c>
      <c r="D35" s="23"/>
      <c r="E35" s="23"/>
      <c r="G35" s="489" t="s">
        <v>84</v>
      </c>
      <c r="H35" s="489"/>
      <c r="I35" s="489"/>
      <c r="J35" s="23"/>
      <c r="L35" s="487"/>
      <c r="M35" s="47" t="s">
        <v>118</v>
      </c>
      <c r="N35" s="49">
        <f>AVERAGE(N32:N34)</f>
        <v>10557.333333333334</v>
      </c>
      <c r="O35" s="49">
        <f>AVERAGE(O32:O34)</f>
        <v>10557.333333333334</v>
      </c>
      <c r="P35" s="118" t="str">
        <f t="shared" si="145"/>
        <v/>
      </c>
      <c r="Q35" s="28">
        <f t="shared" si="146"/>
        <v>10557.333333333334</v>
      </c>
      <c r="R35" s="28">
        <f t="shared" si="147"/>
        <v>10557.333333333334</v>
      </c>
      <c r="S35" s="16" t="str">
        <f t="shared" si="148"/>
        <v/>
      </c>
      <c r="T35" s="499"/>
      <c r="Z35" s="493"/>
      <c r="AA35" s="47" t="s">
        <v>118</v>
      </c>
      <c r="AB35" s="49">
        <f t="shared" si="149"/>
        <v>10557</v>
      </c>
      <c r="AC35" s="49">
        <f>TRUNC(AVERAGE(AC32:AC34),0)</f>
        <v>10557</v>
      </c>
      <c r="AD35" s="118" t="str">
        <f t="shared" si="151"/>
        <v/>
      </c>
      <c r="AE35" s="28">
        <f t="shared" si="152"/>
        <v>10557</v>
      </c>
      <c r="AF35" s="28">
        <f t="shared" si="153"/>
        <v>10557</v>
      </c>
      <c r="AG35" s="16" t="str">
        <f t="shared" si="154"/>
        <v/>
      </c>
      <c r="AH35" s="498"/>
      <c r="AO35" s="487"/>
      <c r="AP35" s="47" t="s">
        <v>118</v>
      </c>
      <c r="AQ35" s="16">
        <f>SUM(AQ32:AQ34)</f>
        <v>419</v>
      </c>
      <c r="AR35" s="29">
        <f>SUM(AR32:AR34)</f>
        <v>419</v>
      </c>
      <c r="AS35" s="118" t="str">
        <f t="shared" si="156"/>
        <v/>
      </c>
      <c r="AT35" s="29">
        <f t="shared" si="157"/>
        <v>419</v>
      </c>
      <c r="AU35" s="29">
        <f t="shared" si="158"/>
        <v>419</v>
      </c>
      <c r="AV35" s="16" t="str">
        <f t="shared" si="159"/>
        <v/>
      </c>
      <c r="AW35" s="498"/>
      <c r="BD35" s="487"/>
      <c r="BE35" s="47" t="s">
        <v>118</v>
      </c>
      <c r="BF35" s="49">
        <f>AVERAGE(BF32:BF34)</f>
        <v>10557.333333333334</v>
      </c>
      <c r="BG35" s="49">
        <f>AVERAGE(BG32:BG34)</f>
        <v>10557.333333333334</v>
      </c>
      <c r="BH35" s="118" t="str">
        <f t="shared" si="162"/>
        <v/>
      </c>
      <c r="BI35" s="28">
        <f t="shared" si="163"/>
        <v>10557.333333333334</v>
      </c>
      <c r="BJ35" s="28">
        <f t="shared" si="164"/>
        <v>10557.333333333334</v>
      </c>
      <c r="BK35" s="16" t="str">
        <f t="shared" si="165"/>
        <v/>
      </c>
      <c r="BL35" s="498"/>
      <c r="BS35" s="493"/>
      <c r="BT35" s="47" t="s">
        <v>118</v>
      </c>
      <c r="BU35" s="49">
        <f>TRUNC(AVERAGE(BU32:BU34),0)</f>
        <v>10557</v>
      </c>
      <c r="BV35" s="49">
        <f>TRUNC(AVERAGE(BV32:BV34),0)</f>
        <v>10557</v>
      </c>
      <c r="BW35" s="118" t="str">
        <f t="shared" si="167"/>
        <v/>
      </c>
      <c r="BX35" s="28">
        <f t="shared" si="168"/>
        <v>10557</v>
      </c>
      <c r="BY35" s="28">
        <f t="shared" si="169"/>
        <v>10557</v>
      </c>
      <c r="BZ35" s="16" t="str">
        <f t="shared" si="170"/>
        <v/>
      </c>
      <c r="CA35" s="498"/>
    </row>
    <row r="36" spans="2:79" ht="16.5" customHeight="1" x14ac:dyDescent="0.2">
      <c r="C36" s="10"/>
      <c r="D36" s="35" t="s">
        <v>9</v>
      </c>
      <c r="E36" s="35" t="s">
        <v>10</v>
      </c>
      <c r="F36" s="43" t="s">
        <v>55</v>
      </c>
      <c r="G36" s="35" t="s">
        <v>9</v>
      </c>
      <c r="H36" s="35" t="s">
        <v>10</v>
      </c>
      <c r="I36" s="43" t="s">
        <v>55</v>
      </c>
      <c r="J36" s="23"/>
      <c r="P36" s="14"/>
      <c r="Q36" s="489" t="s">
        <v>84</v>
      </c>
      <c r="R36" s="489"/>
      <c r="S36" s="489"/>
      <c r="AD36" s="32"/>
      <c r="AE36" s="489" t="s">
        <v>84</v>
      </c>
      <c r="AF36" s="489"/>
      <c r="AG36" s="489"/>
      <c r="AH36"/>
    </row>
    <row r="37" spans="2:79" ht="16.5" customHeight="1" x14ac:dyDescent="0.2">
      <c r="B37" s="485" t="s">
        <v>189</v>
      </c>
      <c r="C37" s="47" t="s">
        <v>32</v>
      </c>
      <c r="D37" s="39">
        <f>E12</f>
        <v>137</v>
      </c>
      <c r="E37" s="39">
        <f>I12</f>
        <v>137</v>
      </c>
      <c r="F37" s="118" t="str">
        <f>IFERROR(IF(D37=E37,"",IF(E37&gt;D37,CONCATENATE($A$3,TEXT((E37-D37),"##")),TEXT((E37-D37),"##"))),"")</f>
        <v/>
      </c>
      <c r="G37" s="52">
        <f>D37</f>
        <v>137</v>
      </c>
      <c r="H37" s="52">
        <f>E37</f>
        <v>137</v>
      </c>
      <c r="I37" s="16" t="str">
        <f>IF(G37=H37,"",IF(H37&gt;G37,CONCATENATE($A$1,TEXT(((H37-G37)/G37),"##%")),CONCATENATE($A$2,TEXT(((H37-G37)/G37),"##%"))))</f>
        <v/>
      </c>
      <c r="J37" s="498" t="str">
        <f>IF(I40="","",CONCATENATE("Overall ",I40))</f>
        <v/>
      </c>
      <c r="M37" s="6"/>
      <c r="N37" s="35" t="s">
        <v>9</v>
      </c>
      <c r="O37" s="35" t="s">
        <v>10</v>
      </c>
      <c r="P37" s="43" t="s">
        <v>55</v>
      </c>
      <c r="Q37" s="35" t="s">
        <v>9</v>
      </c>
      <c r="R37" s="35" t="s">
        <v>10</v>
      </c>
      <c r="S37" s="43" t="s">
        <v>55</v>
      </c>
      <c r="AA37" s="6"/>
      <c r="AB37" s="35" t="s">
        <v>9</v>
      </c>
      <c r="AC37" s="35" t="s">
        <v>10</v>
      </c>
      <c r="AD37" s="43" t="s">
        <v>55</v>
      </c>
      <c r="AE37" s="35" t="s">
        <v>9</v>
      </c>
      <c r="AF37" s="35" t="s">
        <v>10</v>
      </c>
      <c r="AG37" s="43" t="s">
        <v>55</v>
      </c>
      <c r="AH37"/>
      <c r="BE37" s="6"/>
      <c r="BF37" s="36" t="s">
        <v>5</v>
      </c>
      <c r="BG37" s="36" t="s">
        <v>26</v>
      </c>
      <c r="BH37"/>
      <c r="BT37" s="6"/>
      <c r="BU37" s="36" t="s">
        <v>5</v>
      </c>
      <c r="BV37" s="36" t="s">
        <v>26</v>
      </c>
      <c r="BW37"/>
    </row>
    <row r="38" spans="2:79" ht="16.5" customHeight="1" x14ac:dyDescent="0.2">
      <c r="B38" s="486"/>
      <c r="C38" s="47" t="s">
        <v>33</v>
      </c>
      <c r="D38" s="39">
        <f t="shared" ref="D38:D39" si="172">E13</f>
        <v>158</v>
      </c>
      <c r="E38" s="39">
        <f t="shared" ref="E38:E39" si="173">I13</f>
        <v>158</v>
      </c>
      <c r="F38" s="118" t="str">
        <f>IFERROR(IF(D38=E38,"",IF(E38&gt;D38,CONCATENATE($A$3,TEXT((E38-D38),"##")),TEXT((E38-D38),"##"))),"")</f>
        <v/>
      </c>
      <c r="G38" s="52">
        <f t="shared" ref="G38:G40" si="174">D38</f>
        <v>158</v>
      </c>
      <c r="H38" s="52">
        <f t="shared" ref="H38:H40" si="175">E38</f>
        <v>158</v>
      </c>
      <c r="I38" s="16" t="str">
        <f t="shared" ref="I38:I40" si="176">IF(G38=H38,"",IF(H38&gt;G38,CONCATENATE($A$1,TEXT(((H38-G38)/G38),"##%")),CONCATENATE($A$2,TEXT(((H38-G38)/G38),"##%"))))</f>
        <v/>
      </c>
      <c r="J38" s="498"/>
      <c r="L38" s="485" t="s">
        <v>186</v>
      </c>
      <c r="M38" s="47" t="s">
        <v>32</v>
      </c>
      <c r="N38" s="48">
        <f>R12</f>
        <v>137</v>
      </c>
      <c r="O38" s="48">
        <f>W12</f>
        <v>137</v>
      </c>
      <c r="P38" s="118" t="str">
        <f>IF(N38=O38,"",IF(O38&gt;N38,CONCATENATE($A$3,TEXT((O38-N38),"##")),TEXT((O38-N38),"##")))</f>
        <v/>
      </c>
      <c r="Q38" s="52">
        <f>N38</f>
        <v>137</v>
      </c>
      <c r="R38" s="52">
        <f>O38</f>
        <v>137</v>
      </c>
      <c r="S38" s="16" t="str">
        <f>IF(Q38=R38,"",IF(R38&gt;Q38,CONCATENATE($A$1,TEXT(((R38-Q38)/Q38),"##%")),CONCATENATE($A$2,TEXT(((R38-Q38)/Q38),"##%"))))</f>
        <v/>
      </c>
      <c r="T38" s="499" t="str">
        <f>IF(S41="","",CONCATENATE("Overall ",S41))</f>
        <v/>
      </c>
      <c r="Z38" s="485" t="s">
        <v>180</v>
      </c>
      <c r="AA38" s="47" t="s">
        <v>32</v>
      </c>
      <c r="AB38" s="48">
        <f>AD12</f>
        <v>137</v>
      </c>
      <c r="AC38" s="48">
        <f>AJ12</f>
        <v>137</v>
      </c>
      <c r="AD38" s="118" t="str">
        <f>IF(AB38=AC38,"",IF(AC38&gt;AB38,CONCATENATE($A$3,TEXT((AC38-AB38),"##")),TEXT((AC38-AB38),"##")))</f>
        <v/>
      </c>
      <c r="AE38" s="52">
        <f>AB38</f>
        <v>137</v>
      </c>
      <c r="AF38" s="52">
        <f>AC38</f>
        <v>137</v>
      </c>
      <c r="AG38" s="16" t="str">
        <f>IF(AE38=AF38,"",IF(AF38&gt;AE38,CONCATENATE($A$1,TEXT(((AF38-AE38)/AE38),"##%")),CONCATENATE($A$2,TEXT(((AF38-AE38)/AE38),"##%"))))</f>
        <v/>
      </c>
      <c r="AH38" s="498" t="str">
        <f>IF(AG41="","",CONCATENATE("Overall ",AG41))</f>
        <v/>
      </c>
      <c r="AO38" s="15"/>
      <c r="AP38" s="15"/>
      <c r="AQ38" s="15"/>
      <c r="AR38" s="15"/>
      <c r="AS38" s="15"/>
      <c r="AT38" s="483" t="s">
        <v>84</v>
      </c>
      <c r="AU38" s="484"/>
      <c r="AX38" s="15"/>
      <c r="BD38" s="485" t="s">
        <v>336</v>
      </c>
      <c r="BE38" s="34" t="s">
        <v>121</v>
      </c>
      <c r="BF38" s="40">
        <f>D32</f>
        <v>185</v>
      </c>
      <c r="BG38" s="40">
        <f>BF38</f>
        <v>185</v>
      </c>
      <c r="BH38"/>
      <c r="BS38" s="485" t="s">
        <v>337</v>
      </c>
      <c r="BT38" s="34" t="s">
        <v>121</v>
      </c>
      <c r="BU38" s="40">
        <f>'2.Data Input'!F5</f>
        <v>185</v>
      </c>
      <c r="BV38" s="40">
        <f>BU38</f>
        <v>185</v>
      </c>
      <c r="BW38"/>
    </row>
    <row r="39" spans="2:79" ht="16.5" customHeight="1" x14ac:dyDescent="0.2">
      <c r="B39" s="486"/>
      <c r="C39" s="47" t="s">
        <v>54</v>
      </c>
      <c r="D39" s="39">
        <f t="shared" si="172"/>
        <v>235</v>
      </c>
      <c r="E39" s="39">
        <f t="shared" si="173"/>
        <v>235</v>
      </c>
      <c r="F39" s="118" t="str">
        <f>IFERROR(IF(D39=E39,"",IF(E39&gt;D39,CONCATENATE($A$3,TEXT((E39-D39),"##")),TEXT((E39-D39),"##"))),"")</f>
        <v/>
      </c>
      <c r="G39" s="52">
        <f t="shared" si="174"/>
        <v>235</v>
      </c>
      <c r="H39" s="52">
        <f t="shared" si="175"/>
        <v>235</v>
      </c>
      <c r="I39" s="16" t="str">
        <f t="shared" si="176"/>
        <v/>
      </c>
      <c r="J39" s="498"/>
      <c r="L39" s="486"/>
      <c r="M39" s="47" t="s">
        <v>33</v>
      </c>
      <c r="N39" s="48">
        <f>R13</f>
        <v>158</v>
      </c>
      <c r="O39" s="48">
        <f>W13</f>
        <v>157.99999999999997</v>
      </c>
      <c r="P39" s="118" t="str">
        <f t="shared" ref="P39:P41" si="177">IF(N39=O39,"",IF(O39&gt;N39,CONCATENATE($A$3,TEXT((O39-N39),"##")),TEXT((O39-N39),"##")))</f>
        <v/>
      </c>
      <c r="Q39" s="52">
        <f t="shared" ref="Q39:Q41" si="178">N39</f>
        <v>158</v>
      </c>
      <c r="R39" s="52">
        <f t="shared" ref="R39:R41" si="179">O39</f>
        <v>157.99999999999997</v>
      </c>
      <c r="S39" s="16" t="str">
        <f t="shared" ref="S39:S41" si="180">IF(Q39=R39,"",IF(R39&gt;Q39,CONCATENATE($A$1,TEXT(((R39-Q39)/Q39),"##%")),CONCATENATE($A$2,TEXT(((R39-Q39)/Q39),"##%"))))</f>
        <v/>
      </c>
      <c r="T39" s="499"/>
      <c r="Z39" s="486"/>
      <c r="AA39" s="47" t="s">
        <v>33</v>
      </c>
      <c r="AB39" s="48">
        <f t="shared" ref="AB39:AB40" si="181">AD13</f>
        <v>158</v>
      </c>
      <c r="AC39" s="48">
        <f t="shared" ref="AC39:AC40" si="182">AJ13</f>
        <v>157.99999999999997</v>
      </c>
      <c r="AD39" s="118" t="str">
        <f t="shared" ref="AD39:AD41" si="183">IF(AB39=AC39,"",IF(AC39&gt;AB39,CONCATENATE($A$3,TEXT((AC39-AB39),"##")),TEXT((AC39-AB39),"##")))</f>
        <v/>
      </c>
      <c r="AE39" s="52">
        <f t="shared" ref="AE39:AE41" si="184">AB39</f>
        <v>158</v>
      </c>
      <c r="AF39" s="52">
        <f t="shared" ref="AF39:AF41" si="185">AC39</f>
        <v>157.99999999999997</v>
      </c>
      <c r="AG39" s="16" t="str">
        <f t="shared" ref="AG39:AG41" si="186">IF(AE39=AF39,"",IF(AF39&gt;AE39,CONCATENATE($A$1,TEXT(((AF39-AE39)/AE39),"##%")),CONCATENATE($A$2,TEXT(((AF39-AE39)/AE39),"##%"))))</f>
        <v/>
      </c>
      <c r="AH39" s="498"/>
      <c r="AO39" s="15"/>
      <c r="AP39" s="15"/>
      <c r="AQ39" s="43" t="s">
        <v>5</v>
      </c>
      <c r="AR39" s="43" t="s">
        <v>6</v>
      </c>
      <c r="AS39" s="43" t="s">
        <v>55</v>
      </c>
      <c r="AT39" s="43" t="s">
        <v>5</v>
      </c>
      <c r="AU39" s="43" t="s">
        <v>6</v>
      </c>
      <c r="AX39" s="15"/>
      <c r="BD39" s="487"/>
      <c r="BE39" s="33" t="s">
        <v>122</v>
      </c>
      <c r="BF39" s="41">
        <v>0</v>
      </c>
      <c r="BG39" s="39" t="str">
        <f>IF(BL8=BG38,"",BL8-BG38)</f>
        <v/>
      </c>
      <c r="BH39"/>
      <c r="BS39" s="487"/>
      <c r="BT39" s="33" t="s">
        <v>122</v>
      </c>
      <c r="BU39" s="41">
        <v>0</v>
      </c>
      <c r="BV39" s="39" t="str">
        <f>IF(CA8=BV38,"",CA8-BV38)</f>
        <v/>
      </c>
      <c r="BW39"/>
    </row>
    <row r="40" spans="2:79" ht="16.5" customHeight="1" x14ac:dyDescent="0.2">
      <c r="B40" s="487"/>
      <c r="C40" s="47" t="s">
        <v>118</v>
      </c>
      <c r="D40" s="39">
        <f>SUM(D37:D39)</f>
        <v>530</v>
      </c>
      <c r="E40" s="39">
        <f>SUM(E37:E39)</f>
        <v>530</v>
      </c>
      <c r="F40" s="118" t="str">
        <f>IFERROR(IF(D40=E40,"",IF(E40&gt;D40,CONCATENATE($A$3,TEXT((E40-D40),"##")),TEXT((E40-D40),"##"))),"")</f>
        <v/>
      </c>
      <c r="G40" s="52">
        <f t="shared" si="174"/>
        <v>530</v>
      </c>
      <c r="H40" s="52">
        <f t="shared" si="175"/>
        <v>530</v>
      </c>
      <c r="I40" s="16" t="str">
        <f t="shared" si="176"/>
        <v/>
      </c>
      <c r="J40" s="498"/>
      <c r="L40" s="486"/>
      <c r="M40" s="47" t="s">
        <v>54</v>
      </c>
      <c r="N40" s="48">
        <f>R14</f>
        <v>235</v>
      </c>
      <c r="O40" s="48">
        <f>W14</f>
        <v>235</v>
      </c>
      <c r="P40" s="118" t="str">
        <f t="shared" si="177"/>
        <v/>
      </c>
      <c r="Q40" s="52">
        <f t="shared" si="178"/>
        <v>235</v>
      </c>
      <c r="R40" s="52">
        <f t="shared" si="179"/>
        <v>235</v>
      </c>
      <c r="S40" s="16" t="str">
        <f t="shared" si="180"/>
        <v/>
      </c>
      <c r="T40" s="499"/>
      <c r="Z40" s="486"/>
      <c r="AA40" s="47" t="s">
        <v>54</v>
      </c>
      <c r="AB40" s="48">
        <f t="shared" si="181"/>
        <v>235</v>
      </c>
      <c r="AC40" s="48">
        <f t="shared" si="182"/>
        <v>235</v>
      </c>
      <c r="AD40" s="118" t="str">
        <f t="shared" si="183"/>
        <v/>
      </c>
      <c r="AE40" s="52">
        <f t="shared" si="184"/>
        <v>235</v>
      </c>
      <c r="AF40" s="52">
        <f t="shared" si="185"/>
        <v>235</v>
      </c>
      <c r="AG40" s="16" t="str">
        <f t="shared" si="186"/>
        <v/>
      </c>
      <c r="AH40" s="498"/>
      <c r="AO40" s="485" t="s">
        <v>193</v>
      </c>
      <c r="AP40" s="47" t="s">
        <v>32</v>
      </c>
      <c r="AQ40" s="53">
        <f>AT12</f>
        <v>0.10948905109489052</v>
      </c>
      <c r="AR40" s="53">
        <f>AX12</f>
        <v>0.10948905109489052</v>
      </c>
      <c r="AS40" s="16" t="str">
        <f>IF(AQ40=AR40,"",IF(AR40&gt;AQ40,CONCATENATE($A$1,TEXT(((AR40-AQ40)/AQ40),"##%")),CONCATENATE($A$2,TEXT(((AR40-AQ40)/AQ40),"##%"))))</f>
        <v/>
      </c>
      <c r="AT40" s="53">
        <f>AQ40</f>
        <v>0.10948905109489052</v>
      </c>
      <c r="AU40" s="53">
        <f>AR40</f>
        <v>0.10948905109489052</v>
      </c>
      <c r="AV40" s="519" t="str">
        <f>BK83</f>
        <v/>
      </c>
      <c r="AX40" s="15"/>
      <c r="BD40"/>
      <c r="BE40"/>
      <c r="BH40" s="23"/>
      <c r="BI40" s="489" t="s">
        <v>84</v>
      </c>
      <c r="BJ40" s="489"/>
      <c r="BK40" s="489"/>
      <c r="BL40" s="23"/>
      <c r="BS40"/>
      <c r="BT40"/>
      <c r="BW40" s="23"/>
      <c r="BX40" s="489" t="s">
        <v>84</v>
      </c>
      <c r="BY40" s="489"/>
      <c r="BZ40" s="489"/>
      <c r="CA40" s="23"/>
    </row>
    <row r="41" spans="2:79" ht="16.5" customHeight="1" x14ac:dyDescent="0.2">
      <c r="B41"/>
      <c r="C41" s="10"/>
      <c r="D41" s="11"/>
      <c r="E41" s="11"/>
      <c r="L41" s="487"/>
      <c r="M41" s="47" t="s">
        <v>118</v>
      </c>
      <c r="N41" s="48">
        <f>SUM(N38:N40)</f>
        <v>530</v>
      </c>
      <c r="O41" s="48">
        <f>SUM(O38:O40)</f>
        <v>530</v>
      </c>
      <c r="P41" s="118" t="str">
        <f t="shared" si="177"/>
        <v/>
      </c>
      <c r="Q41" s="52">
        <f t="shared" si="178"/>
        <v>530</v>
      </c>
      <c r="R41" s="52">
        <f t="shared" si="179"/>
        <v>530</v>
      </c>
      <c r="S41" s="16" t="str">
        <f t="shared" si="180"/>
        <v/>
      </c>
      <c r="T41" s="499"/>
      <c r="Z41" s="487"/>
      <c r="AA41" s="47" t="s">
        <v>118</v>
      </c>
      <c r="AB41" s="48">
        <f>SUM(AB38:AB40)</f>
        <v>530</v>
      </c>
      <c r="AC41" s="48">
        <f>SUM(AC38:AC40)</f>
        <v>530</v>
      </c>
      <c r="AD41" s="118" t="str">
        <f t="shared" si="183"/>
        <v/>
      </c>
      <c r="AE41" s="52">
        <f t="shared" si="184"/>
        <v>530</v>
      </c>
      <c r="AF41" s="52">
        <f t="shared" si="185"/>
        <v>530</v>
      </c>
      <c r="AG41" s="16" t="str">
        <f t="shared" si="186"/>
        <v/>
      </c>
      <c r="AH41" s="498"/>
      <c r="AO41" s="486"/>
      <c r="AP41" s="47" t="s">
        <v>33</v>
      </c>
      <c r="AQ41" s="53">
        <f t="shared" ref="AQ41:AQ42" si="187">AT13</f>
        <v>8.8607594936708861E-2</v>
      </c>
      <c r="AR41" s="53">
        <f t="shared" ref="AR41:AR42" si="188">AX13</f>
        <v>8.8607594936708861E-2</v>
      </c>
      <c r="AS41" s="16" t="str">
        <f t="shared" ref="AS41:AS43" si="189">IF(AQ41=AR41,"",IF(AR41&gt;AQ41,CONCATENATE($A$1,TEXT(((AR41-AQ41)/AQ41),"##%")),CONCATENATE($A$2,TEXT(((AR41-AQ41)/AQ41),"##%"))))</f>
        <v/>
      </c>
      <c r="AT41" s="53">
        <f t="shared" ref="AT41:AT43" si="190">AQ41</f>
        <v>8.8607594936708861E-2</v>
      </c>
      <c r="AU41" s="53">
        <f t="shared" ref="AU41:AU43" si="191">AR41</f>
        <v>8.8607594936708861E-2</v>
      </c>
      <c r="AV41" s="519"/>
      <c r="AX41" s="15"/>
      <c r="BD41"/>
      <c r="BE41"/>
      <c r="BF41" s="35" t="s">
        <v>9</v>
      </c>
      <c r="BG41" s="35" t="s">
        <v>10</v>
      </c>
      <c r="BH41" s="117" t="s">
        <v>55</v>
      </c>
      <c r="BI41" s="35" t="s">
        <v>9</v>
      </c>
      <c r="BJ41" s="35" t="s">
        <v>10</v>
      </c>
      <c r="BK41" s="43" t="s">
        <v>55</v>
      </c>
      <c r="BL41" s="23"/>
      <c r="BS41"/>
      <c r="BT41"/>
      <c r="BU41" s="35" t="s">
        <v>9</v>
      </c>
      <c r="BV41" s="35" t="s">
        <v>10</v>
      </c>
      <c r="BW41" s="117" t="s">
        <v>55</v>
      </c>
      <c r="BX41" s="35" t="s">
        <v>9</v>
      </c>
      <c r="BY41" s="35" t="s">
        <v>10</v>
      </c>
      <c r="BZ41" s="43" t="s">
        <v>55</v>
      </c>
      <c r="CA41" s="23"/>
    </row>
    <row r="42" spans="2:79" ht="16.5" customHeight="1" x14ac:dyDescent="0.2">
      <c r="B42"/>
      <c r="C42" s="10"/>
      <c r="D42" s="36" t="s">
        <v>5</v>
      </c>
      <c r="E42" s="36" t="s">
        <v>26</v>
      </c>
      <c r="F42"/>
      <c r="L42"/>
      <c r="M42" s="6"/>
      <c r="N42" s="6"/>
      <c r="O42" s="6"/>
      <c r="P42" s="14"/>
      <c r="Q42" s="489" t="s">
        <v>84</v>
      </c>
      <c r="R42" s="489"/>
      <c r="S42" s="489"/>
      <c r="Z42"/>
      <c r="AA42" s="6"/>
      <c r="AB42" s="6"/>
      <c r="AC42" s="6"/>
      <c r="AD42" s="32"/>
      <c r="AE42" s="489" t="s">
        <v>84</v>
      </c>
      <c r="AF42" s="489"/>
      <c r="AG42" s="489"/>
      <c r="AH42"/>
      <c r="AO42" s="486"/>
      <c r="AP42" s="47" t="s">
        <v>54</v>
      </c>
      <c r="AQ42" s="53">
        <f t="shared" si="187"/>
        <v>3.8297872340425532E-2</v>
      </c>
      <c r="AR42" s="53">
        <f t="shared" si="188"/>
        <v>3.8297872340425532E-2</v>
      </c>
      <c r="AS42" s="16" t="str">
        <f t="shared" si="189"/>
        <v/>
      </c>
      <c r="AT42" s="53">
        <f t="shared" si="190"/>
        <v>3.8297872340425532E-2</v>
      </c>
      <c r="AU42" s="53">
        <f t="shared" si="191"/>
        <v>3.8297872340425532E-2</v>
      </c>
      <c r="AV42" s="519"/>
      <c r="AX42" s="15"/>
      <c r="BD42" s="485" t="s">
        <v>197</v>
      </c>
      <c r="BE42" s="47" t="s">
        <v>32</v>
      </c>
      <c r="BF42" s="48">
        <f>AB38</f>
        <v>137</v>
      </c>
      <c r="BG42" s="48">
        <f>BO12</f>
        <v>136.99999999999997</v>
      </c>
      <c r="BH42" s="118" t="str">
        <f>IF(BF42=BG42,"",IF(BG42&gt;BF42,CONCATENATE($A$3,TEXT((BG42-BF42),"##")),TEXT((BG42-BF42),"##")))</f>
        <v/>
      </c>
      <c r="BI42" s="52">
        <f>BF42</f>
        <v>137</v>
      </c>
      <c r="BJ42" s="52">
        <f>BG42</f>
        <v>136.99999999999997</v>
      </c>
      <c r="BK42" s="16" t="str">
        <f>IF(BI42=BJ42,"",IF(BJ42&gt;BI42,CONCATENATE($A$1,TEXT(((BJ42-BI42)/BI42),"##%")),CONCATENATE($A$2,TEXT(((BJ42-BI42)/BI42),"##%"))))</f>
        <v/>
      </c>
      <c r="BL42" s="498" t="str">
        <f>IF(BK45="","",CONCATENATE("Overall ",BK45))</f>
        <v/>
      </c>
      <c r="BS42" s="485" t="s">
        <v>207</v>
      </c>
      <c r="BT42" s="47" t="s">
        <v>32</v>
      </c>
      <c r="BU42" s="48">
        <f>BU12</f>
        <v>137</v>
      </c>
      <c r="BV42" s="48">
        <f>CD12</f>
        <v>136.99999999999997</v>
      </c>
      <c r="BW42" s="118" t="str">
        <f>IF(BU42=BV42,"",IF(BV42&gt;BU42,CONCATENATE($A$3,TEXT((BV42-BU42),"#,###")),TEXT((BV42-BU42),"##")))</f>
        <v/>
      </c>
      <c r="BX42" s="52">
        <f>BU42</f>
        <v>137</v>
      </c>
      <c r="BY42" s="52">
        <f>BV42</f>
        <v>136.99999999999997</v>
      </c>
      <c r="BZ42" s="16" t="str">
        <f>IF(BX42=BY42,"",IF(BY42&gt;BX42,CONCATENATE($A$1,TEXT(((BY42-BX42)/BX42),"##%")),CONCATENATE($A$2,TEXT(((BY42-BX42)/BX42),"##%"))))</f>
        <v/>
      </c>
      <c r="CA42" s="498" t="str">
        <f>IF(BZ45="","",CONCATENATE("Overall ",BZ45))</f>
        <v/>
      </c>
    </row>
    <row r="43" spans="2:79" ht="16.5" customHeight="1" x14ac:dyDescent="0.2">
      <c r="B43" s="491" t="s">
        <v>190</v>
      </c>
      <c r="C43" s="34" t="s">
        <v>121</v>
      </c>
      <c r="D43" s="40">
        <f>'2.Data Input'!F6</f>
        <v>80</v>
      </c>
      <c r="E43" s="40">
        <f>D43</f>
        <v>80</v>
      </c>
      <c r="F43"/>
      <c r="L43"/>
      <c r="M43" s="6"/>
      <c r="N43" s="46" t="s">
        <v>49</v>
      </c>
      <c r="O43" s="46" t="s">
        <v>50</v>
      </c>
      <c r="P43" s="43" t="s">
        <v>55</v>
      </c>
      <c r="Q43" s="35" t="s">
        <v>9</v>
      </c>
      <c r="R43" s="35" t="s">
        <v>10</v>
      </c>
      <c r="S43" s="43" t="s">
        <v>55</v>
      </c>
      <c r="Z43"/>
      <c r="AA43" s="6"/>
      <c r="AB43" s="46" t="s">
        <v>49</v>
      </c>
      <c r="AC43" s="46" t="s">
        <v>50</v>
      </c>
      <c r="AD43" s="43" t="s">
        <v>55</v>
      </c>
      <c r="AE43" s="35" t="s">
        <v>9</v>
      </c>
      <c r="AF43" s="35" t="s">
        <v>10</v>
      </c>
      <c r="AG43" s="43" t="s">
        <v>55</v>
      </c>
      <c r="AH43"/>
      <c r="AO43" s="487"/>
      <c r="AP43" s="47" t="s">
        <v>118</v>
      </c>
      <c r="AQ43" s="53">
        <f>AVERAGE(AQ40:AQ42)</f>
        <v>7.879817279067497E-2</v>
      </c>
      <c r="AR43" s="53">
        <f>AVERAGE(AR40:AR42)</f>
        <v>7.879817279067497E-2</v>
      </c>
      <c r="AS43" s="16" t="str">
        <f t="shared" si="189"/>
        <v/>
      </c>
      <c r="AT43" s="53">
        <f t="shared" si="190"/>
        <v>7.879817279067497E-2</v>
      </c>
      <c r="AU43" s="53">
        <f t="shared" si="191"/>
        <v>7.879817279067497E-2</v>
      </c>
      <c r="AV43" s="520"/>
      <c r="AX43" s="15"/>
      <c r="BD43" s="486"/>
      <c r="BE43" s="47" t="s">
        <v>33</v>
      </c>
      <c r="BF43" s="48">
        <f t="shared" ref="BF43:BF45" si="192">AB39</f>
        <v>158</v>
      </c>
      <c r="BG43" s="48">
        <f t="shared" ref="BG43:BG44" si="193">BO13</f>
        <v>158.00000000000003</v>
      </c>
      <c r="BH43" s="118" t="str">
        <f t="shared" ref="BH43:BH45" si="194">IF(BF43=BG43,"",IF(BG43&gt;BF43,CONCATENATE($A$3,TEXT((BG43-BF43),"##")),TEXT((BG43-BF43),"##")))</f>
        <v/>
      </c>
      <c r="BI43" s="52">
        <f t="shared" ref="BI43:BI45" si="195">BF43</f>
        <v>158</v>
      </c>
      <c r="BJ43" s="52">
        <f t="shared" ref="BJ43:BJ45" si="196">BG43</f>
        <v>158.00000000000003</v>
      </c>
      <c r="BK43" s="16" t="str">
        <f t="shared" ref="BK43:BK45" si="197">IF(BI43=BJ43,"",IF(BJ43&gt;BI43,CONCATENATE($A$1,TEXT(((BJ43-BI43)/BI43),"##%")),CONCATENATE($A$2,TEXT(((BJ43-BI43)/BI43),"##%"))))</f>
        <v/>
      </c>
      <c r="BL43" s="498"/>
      <c r="BS43" s="486"/>
      <c r="BT43" s="47" t="s">
        <v>33</v>
      </c>
      <c r="BU43" s="48">
        <f t="shared" ref="BU43:BU44" si="198">BU13</f>
        <v>158</v>
      </c>
      <c r="BV43" s="48">
        <f t="shared" ref="BV43:BV44" si="199">CD13</f>
        <v>158.00000000000003</v>
      </c>
      <c r="BW43" s="118" t="str">
        <f t="shared" ref="BW43:BW45" si="200">IF(BU43=BV43,"",IF(BV43&gt;BU43,CONCATENATE($A$3,TEXT((BV43-BU43),"#,###")),TEXT((BV43-BU43),"##")))</f>
        <v/>
      </c>
      <c r="BX43" s="52">
        <f t="shared" ref="BX43:BX45" si="201">BU43</f>
        <v>158</v>
      </c>
      <c r="BY43" s="52">
        <f t="shared" ref="BY43:BY45" si="202">BV43</f>
        <v>158.00000000000003</v>
      </c>
      <c r="BZ43" s="16" t="str">
        <f t="shared" ref="BZ43:BZ45" si="203">IF(BX43=BY43,"",IF(BY43&gt;BX43,CONCATENATE($A$1,TEXT(((BY43-BX43)/BX43),"##%")),CONCATENATE($A$2,TEXT(((BY43-BX43)/BX43),"##%"))))</f>
        <v/>
      </c>
      <c r="CA43" s="498"/>
    </row>
    <row r="44" spans="2:79" ht="16.5" customHeight="1" x14ac:dyDescent="0.2">
      <c r="B44" s="493"/>
      <c r="C44" s="33" t="s">
        <v>122</v>
      </c>
      <c r="D44" s="41"/>
      <c r="E44" s="42" t="str">
        <f>IF(TRUNC(J15,0)=0,"",TRUNC(J15,0))</f>
        <v/>
      </c>
      <c r="F44"/>
      <c r="L44" s="485" t="s">
        <v>187</v>
      </c>
      <c r="M44" s="47" t="s">
        <v>32</v>
      </c>
      <c r="N44" s="49">
        <f>TRUNC(S12,0)</f>
        <v>8759</v>
      </c>
      <c r="O44" s="49">
        <f>TRUNC(X12,0)</f>
        <v>8759</v>
      </c>
      <c r="P44" s="118" t="str">
        <f>IF(N44=O44,"",IF(O44&gt;N44,CONCATENATE($A$3,TEXT((O44-N44),"$#,###")),TEXT((O44-N44),"$#,###")))</f>
        <v/>
      </c>
      <c r="Q44" s="28">
        <f>N44</f>
        <v>8759</v>
      </c>
      <c r="R44" s="28">
        <f>O44</f>
        <v>8759</v>
      </c>
      <c r="S44" s="16" t="str">
        <f>IF(Q44=R44,"",IF(R44&gt;Q44,CONCATENATE($A$1,TEXT(((R44-Q44)/Q44),"##%")),CONCATENATE($A$2,TEXT(((R44-Q44)/Q44),"##%"))))</f>
        <v/>
      </c>
      <c r="T44" s="499" t="str">
        <f>IF(S47="","",CONCATENATE("Overall ",S47))</f>
        <v/>
      </c>
      <c r="Z44" s="485" t="s">
        <v>181</v>
      </c>
      <c r="AA44" s="47" t="s">
        <v>32</v>
      </c>
      <c r="AB44" s="49">
        <f>TRUNC(N44,0)</f>
        <v>8759</v>
      </c>
      <c r="AC44" s="49">
        <f>TRUNC(AK12,0)</f>
        <v>8759</v>
      </c>
      <c r="AD44" s="118" t="str">
        <f>IF(AB44=AC44,"",IF(AC44&gt;AB44,CONCATENATE($A$3,TEXT((AC44-AB44),"$#,###")),TEXT((AC44-AB44),"$#,###")))</f>
        <v/>
      </c>
      <c r="AE44" s="28">
        <f>AB44</f>
        <v>8759</v>
      </c>
      <c r="AF44" s="28">
        <f>AC44</f>
        <v>8759</v>
      </c>
      <c r="AG44" s="16" t="str">
        <f>IF(AE44=AF44,"",IF(AF44&gt;AE44,CONCATENATE($A$1,TEXT(((AF44-AE44)/AE44),"##%")),CONCATENATE($A$2,TEXT(((AF44-AE44)/AE44),"##%"))))</f>
        <v/>
      </c>
      <c r="AH44" s="498" t="str">
        <f>IF(AG47="","",CONCATENATE("Overall ",AG47))</f>
        <v/>
      </c>
      <c r="AP44" s="6"/>
      <c r="AQ44" s="15"/>
      <c r="AR44" s="15"/>
      <c r="AS44" s="15"/>
      <c r="AT44" s="489" t="s">
        <v>84</v>
      </c>
      <c r="AU44" s="489"/>
      <c r="AV44" s="489"/>
      <c r="AX44" s="15"/>
      <c r="BD44" s="486"/>
      <c r="BE44" s="47" t="s">
        <v>54</v>
      </c>
      <c r="BF44" s="48">
        <f t="shared" si="192"/>
        <v>235</v>
      </c>
      <c r="BG44" s="48">
        <f t="shared" si="193"/>
        <v>235</v>
      </c>
      <c r="BH44" s="118" t="str">
        <f t="shared" si="194"/>
        <v/>
      </c>
      <c r="BI44" s="52">
        <f t="shared" si="195"/>
        <v>235</v>
      </c>
      <c r="BJ44" s="52">
        <f t="shared" si="196"/>
        <v>235</v>
      </c>
      <c r="BK44" s="16" t="str">
        <f t="shared" si="197"/>
        <v/>
      </c>
      <c r="BL44" s="498"/>
      <c r="BS44" s="486"/>
      <c r="BT44" s="47" t="s">
        <v>54</v>
      </c>
      <c r="BU44" s="48">
        <f t="shared" si="198"/>
        <v>235</v>
      </c>
      <c r="BV44" s="48">
        <f t="shared" si="199"/>
        <v>235</v>
      </c>
      <c r="BW44" s="118" t="str">
        <f t="shared" si="200"/>
        <v/>
      </c>
      <c r="BX44" s="52">
        <f t="shared" si="201"/>
        <v>235</v>
      </c>
      <c r="BY44" s="52">
        <f t="shared" si="202"/>
        <v>235</v>
      </c>
      <c r="BZ44" s="16" t="str">
        <f t="shared" si="203"/>
        <v/>
      </c>
      <c r="CA44" s="498"/>
    </row>
    <row r="45" spans="2:79" ht="16.5" customHeight="1" x14ac:dyDescent="0.2">
      <c r="L45" s="486"/>
      <c r="M45" s="47" t="s">
        <v>33</v>
      </c>
      <c r="N45" s="49">
        <f t="shared" ref="N45:N46" si="204">TRUNC(S13,0)</f>
        <v>18987</v>
      </c>
      <c r="O45" s="49">
        <f t="shared" ref="O45:O46" si="205">TRUNC(X13,0)</f>
        <v>18987</v>
      </c>
      <c r="P45" s="118" t="str">
        <f t="shared" ref="P45:P47" si="206">IF(N45=O45,"",IF(O45&gt;N45,CONCATENATE($A$3,TEXT((O45-N45),"$#,###")),TEXT((O45-N45),"$#,###")))</f>
        <v/>
      </c>
      <c r="Q45" s="28">
        <f t="shared" ref="Q45:Q47" si="207">N45</f>
        <v>18987</v>
      </c>
      <c r="R45" s="28">
        <f t="shared" ref="R45:R47" si="208">O45</f>
        <v>18987</v>
      </c>
      <c r="S45" s="16" t="str">
        <f t="shared" ref="S45:S47" si="209">IF(Q45=R45,"",IF(R45&gt;Q45,CONCATENATE($A$1,TEXT(((R45-Q45)/Q45),"##%")),CONCATENATE($A$2,TEXT(((R45-Q45)/Q45),"##%"))))</f>
        <v/>
      </c>
      <c r="T45" s="499"/>
      <c r="Z45" s="486"/>
      <c r="AA45" s="47" t="s">
        <v>33</v>
      </c>
      <c r="AB45" s="49">
        <f t="shared" ref="AB45:AB47" si="210">TRUNC(N45,0)</f>
        <v>18987</v>
      </c>
      <c r="AC45" s="49">
        <f t="shared" ref="AC45:AC46" si="211">TRUNC(AK13,0)</f>
        <v>18987</v>
      </c>
      <c r="AD45" s="118" t="str">
        <f t="shared" ref="AD45:AD47" si="212">IF(AB45=AC45,"",IF(AC45&gt;AB45,CONCATENATE($A$3,TEXT((AC45-AB45),"$#,###")),TEXT((AC45-AB45),"$#,###")))</f>
        <v/>
      </c>
      <c r="AE45" s="28">
        <f t="shared" ref="AE45:AE47" si="213">AB45</f>
        <v>18987</v>
      </c>
      <c r="AF45" s="28">
        <f t="shared" ref="AF45:AF47" si="214">AC45</f>
        <v>18987</v>
      </c>
      <c r="AG45" s="16" t="str">
        <f t="shared" ref="AG45:AG47" si="215">IF(AE45=AF45,"",IF(AF45&gt;AE45,CONCATENATE($A$1,TEXT(((AF45-AE45)/AE45),"##%")),CONCATENATE($A$2,TEXT(((AF45-AE45)/AE45),"##%"))))</f>
        <v/>
      </c>
      <c r="AH45" s="498"/>
      <c r="AP45" s="6"/>
      <c r="AQ45" s="43" t="s">
        <v>5</v>
      </c>
      <c r="AR45" s="43" t="s">
        <v>6</v>
      </c>
      <c r="AS45" s="43" t="s">
        <v>55</v>
      </c>
      <c r="AT45" s="43" t="s">
        <v>5</v>
      </c>
      <c r="AU45" s="43" t="s">
        <v>6</v>
      </c>
      <c r="AV45" s="43" t="s">
        <v>55</v>
      </c>
      <c r="AX45" s="15"/>
      <c r="BD45" s="487"/>
      <c r="BE45" s="47" t="s">
        <v>118</v>
      </c>
      <c r="BF45" s="48">
        <f t="shared" si="192"/>
        <v>530</v>
      </c>
      <c r="BG45" s="48">
        <f>SUM(BG42:BG44)</f>
        <v>530</v>
      </c>
      <c r="BH45" s="118" t="str">
        <f t="shared" si="194"/>
        <v/>
      </c>
      <c r="BI45" s="52">
        <f t="shared" si="195"/>
        <v>530</v>
      </c>
      <c r="BJ45" s="52">
        <f t="shared" si="196"/>
        <v>530</v>
      </c>
      <c r="BK45" s="16" t="str">
        <f t="shared" si="197"/>
        <v/>
      </c>
      <c r="BL45" s="498"/>
      <c r="BS45" s="487"/>
      <c r="BT45" s="47" t="s">
        <v>118</v>
      </c>
      <c r="BU45" s="48">
        <f>SUM(BU42:BU44)</f>
        <v>530</v>
      </c>
      <c r="BV45" s="48">
        <f>SUM(BV42:BV44)</f>
        <v>530</v>
      </c>
      <c r="BW45" s="118" t="str">
        <f t="shared" si="200"/>
        <v/>
      </c>
      <c r="BX45" s="52">
        <f t="shared" si="201"/>
        <v>530</v>
      </c>
      <c r="BY45" s="52">
        <f t="shared" si="202"/>
        <v>530</v>
      </c>
      <c r="BZ45" s="16" t="str">
        <f t="shared" si="203"/>
        <v/>
      </c>
      <c r="CA45" s="498"/>
    </row>
    <row r="46" spans="2:79" ht="16.5" customHeight="1" x14ac:dyDescent="0.2">
      <c r="C46" s="37" t="s">
        <v>43</v>
      </c>
      <c r="D46" s="23"/>
      <c r="E46" s="23"/>
      <c r="G46" s="489" t="s">
        <v>84</v>
      </c>
      <c r="H46" s="489"/>
      <c r="I46" s="489"/>
      <c r="J46" s="23"/>
      <c r="L46" s="486"/>
      <c r="M46" s="47" t="s">
        <v>54</v>
      </c>
      <c r="N46" s="49">
        <f t="shared" si="204"/>
        <v>3617</v>
      </c>
      <c r="O46" s="49">
        <f t="shared" si="205"/>
        <v>3617</v>
      </c>
      <c r="P46" s="118" t="str">
        <f t="shared" si="206"/>
        <v/>
      </c>
      <c r="Q46" s="28">
        <f t="shared" si="207"/>
        <v>3617</v>
      </c>
      <c r="R46" s="28">
        <f t="shared" si="208"/>
        <v>3617</v>
      </c>
      <c r="S46" s="16" t="str">
        <f t="shared" si="209"/>
        <v/>
      </c>
      <c r="T46" s="499"/>
      <c r="Z46" s="486"/>
      <c r="AA46" s="47" t="s">
        <v>54</v>
      </c>
      <c r="AB46" s="49">
        <f t="shared" si="210"/>
        <v>3617</v>
      </c>
      <c r="AC46" s="49">
        <f t="shared" si="211"/>
        <v>3617</v>
      </c>
      <c r="AD46" s="118" t="str">
        <f t="shared" si="212"/>
        <v/>
      </c>
      <c r="AE46" s="28">
        <f t="shared" si="213"/>
        <v>3617</v>
      </c>
      <c r="AF46" s="28">
        <f t="shared" si="214"/>
        <v>3617</v>
      </c>
      <c r="AG46" s="16" t="str">
        <f t="shared" si="215"/>
        <v/>
      </c>
      <c r="AH46" s="498"/>
      <c r="AO46" s="485" t="s">
        <v>194</v>
      </c>
      <c r="AP46" s="47" t="s">
        <v>32</v>
      </c>
      <c r="AQ46" s="52">
        <f>AU12</f>
        <v>122</v>
      </c>
      <c r="AR46" s="29">
        <f>BA12</f>
        <v>122</v>
      </c>
      <c r="AS46" s="118" t="str">
        <f>IF(AQ46=AR46,"",IF(AR46&gt;AQ46,CONCATENATE($A$3,TEXT((AR46-AQ46),"#,###")),TEXT((AR46-AQ46),"#,###")))</f>
        <v/>
      </c>
      <c r="AT46" s="29">
        <f>AQ46</f>
        <v>122</v>
      </c>
      <c r="AU46" s="29">
        <f>AR46</f>
        <v>122</v>
      </c>
      <c r="AV46" s="16" t="str">
        <f>IF(AT46=AU46,"",IF(AU46&gt;AT46,CONCATENATE($A$1,TEXT(ROUNDUP((AU46-AT46)/AT46,2),"##%")),CONCATENATE($A$2,TEXT(ROUNDUP((AU46-AT46)/AT46,2),"##%"))))</f>
        <v/>
      </c>
      <c r="AW46" s="498" t="str">
        <f>IF(AV49="","",CONCATENATE("Overall ",AV49))</f>
        <v/>
      </c>
      <c r="BD46"/>
      <c r="BE46" s="6"/>
      <c r="BF46" s="6"/>
      <c r="BG46" s="6"/>
      <c r="BH46" s="32"/>
      <c r="BI46" s="489" t="s">
        <v>84</v>
      </c>
      <c r="BJ46" s="489"/>
      <c r="BK46" s="489"/>
      <c r="BL46" s="23"/>
      <c r="BS46"/>
      <c r="BT46" s="6"/>
      <c r="BU46" s="6"/>
      <c r="BV46" s="6"/>
      <c r="BW46" s="32"/>
      <c r="BX46" s="489" t="s">
        <v>84</v>
      </c>
      <c r="BY46" s="489"/>
      <c r="BZ46" s="489"/>
      <c r="CA46" s="23"/>
    </row>
    <row r="47" spans="2:79" ht="16.5" customHeight="1" x14ac:dyDescent="0.2">
      <c r="C47" s="10"/>
      <c r="D47" s="35" t="s">
        <v>9</v>
      </c>
      <c r="E47" s="35" t="s">
        <v>10</v>
      </c>
      <c r="F47" s="43" t="s">
        <v>55</v>
      </c>
      <c r="G47" s="35" t="s">
        <v>9</v>
      </c>
      <c r="H47" s="35" t="s">
        <v>10</v>
      </c>
      <c r="I47" s="43" t="s">
        <v>55</v>
      </c>
      <c r="J47" s="23"/>
      <c r="L47" s="487"/>
      <c r="M47" s="47" t="s">
        <v>118</v>
      </c>
      <c r="N47" s="49">
        <f>AVERAGE(N44:N46)</f>
        <v>10454.333333333334</v>
      </c>
      <c r="O47" s="49">
        <f>AVERAGE(O44:O46)</f>
        <v>10454.333333333334</v>
      </c>
      <c r="P47" s="118" t="str">
        <f t="shared" si="206"/>
        <v/>
      </c>
      <c r="Q47" s="28">
        <f t="shared" si="207"/>
        <v>10454.333333333334</v>
      </c>
      <c r="R47" s="28">
        <f t="shared" si="208"/>
        <v>10454.333333333334</v>
      </c>
      <c r="S47" s="16" t="str">
        <f t="shared" si="209"/>
        <v/>
      </c>
      <c r="T47" s="499"/>
      <c r="Z47" s="487"/>
      <c r="AA47" s="47" t="s">
        <v>118</v>
      </c>
      <c r="AB47" s="49">
        <f t="shared" si="210"/>
        <v>10454</v>
      </c>
      <c r="AC47" s="49">
        <f>TRUNC(AVERAGE(AC44:AC46),0)</f>
        <v>10454</v>
      </c>
      <c r="AD47" s="118" t="str">
        <f t="shared" si="212"/>
        <v/>
      </c>
      <c r="AE47" s="28">
        <f t="shared" si="213"/>
        <v>10454</v>
      </c>
      <c r="AF47" s="28">
        <f t="shared" si="214"/>
        <v>10454</v>
      </c>
      <c r="AG47" s="16" t="str">
        <f t="shared" si="215"/>
        <v/>
      </c>
      <c r="AH47" s="498"/>
      <c r="AO47" s="486"/>
      <c r="AP47" s="47" t="s">
        <v>33</v>
      </c>
      <c r="AQ47" s="52">
        <f t="shared" ref="AQ47:AQ48" si="216">AU13</f>
        <v>144</v>
      </c>
      <c r="AR47" s="29">
        <f t="shared" ref="AR47:AR48" si="217">BA13</f>
        <v>143.99999999999997</v>
      </c>
      <c r="AS47" s="118" t="str">
        <f t="shared" ref="AS47:AS49" si="218">IF(AQ47=AR47,"",IF(AR47&gt;AQ47,CONCATENATE($A$3,TEXT((AR47-AQ47),"#,###")),TEXT((AR47-AQ47),"#,###")))</f>
        <v/>
      </c>
      <c r="AT47" s="29">
        <f t="shared" ref="AT47:AT49" si="219">AQ47</f>
        <v>144</v>
      </c>
      <c r="AU47" s="29">
        <f t="shared" ref="AU47:AU49" si="220">AR47</f>
        <v>143.99999999999997</v>
      </c>
      <c r="AV47" s="16" t="str">
        <f t="shared" ref="AV47:AV49" si="221">IF(AT47=AU47,"",IF(AU47&gt;AT47,CONCATENATE($A$1,TEXT(ROUNDUP((AU47-AT47)/AT47,2),"##%")),CONCATENATE($A$2,TEXT(ROUNDUP((AU47-AT47)/AT47,2),"##%"))))</f>
        <v/>
      </c>
      <c r="AW47" s="498"/>
      <c r="BD47"/>
      <c r="BE47" s="6"/>
      <c r="BF47" s="46" t="s">
        <v>49</v>
      </c>
      <c r="BG47" s="46" t="s">
        <v>50</v>
      </c>
      <c r="BH47" s="117" t="s">
        <v>55</v>
      </c>
      <c r="BI47" s="35" t="s">
        <v>9</v>
      </c>
      <c r="BJ47" s="35" t="s">
        <v>10</v>
      </c>
      <c r="BK47" s="43" t="s">
        <v>55</v>
      </c>
      <c r="BS47"/>
      <c r="BT47" s="6"/>
      <c r="BU47" s="46" t="s">
        <v>49</v>
      </c>
      <c r="BV47" s="46" t="s">
        <v>50</v>
      </c>
      <c r="BW47" s="117" t="s">
        <v>55</v>
      </c>
      <c r="BX47" s="35" t="s">
        <v>9</v>
      </c>
      <c r="BY47" s="35" t="s">
        <v>10</v>
      </c>
      <c r="BZ47" s="43" t="s">
        <v>55</v>
      </c>
    </row>
    <row r="48" spans="2:79" ht="16.5" customHeight="1" x14ac:dyDescent="0.2">
      <c r="B48" s="485" t="s">
        <v>191</v>
      </c>
      <c r="C48" s="47" t="s">
        <v>32</v>
      </c>
      <c r="D48" s="39">
        <f>E19</f>
        <v>402</v>
      </c>
      <c r="E48" s="39">
        <f>I19</f>
        <v>402</v>
      </c>
      <c r="F48" s="118" t="str">
        <f>IFERROR(IF(D48=E48,"",IF(E48&gt;D48,CONCATENATE($A$3,TEXT((E48-D48),"##")),TEXT((E48-D48),"##"))),"")</f>
        <v/>
      </c>
      <c r="G48" s="52">
        <f>D48</f>
        <v>402</v>
      </c>
      <c r="H48" s="52">
        <f>E48</f>
        <v>402</v>
      </c>
      <c r="I48" s="16" t="str">
        <f>IF(G48=H48,"",IF(H48&gt;G48,CONCATENATE($A$1,TEXT(((H48-G48)/G48),"##%")),CONCATENATE($A$2,TEXT(((H48-G48)/G48),"##%"))))</f>
        <v/>
      </c>
      <c r="J48" s="498" t="str">
        <f>IF(I51="","",CONCATENATE("Overall ",I51))</f>
        <v/>
      </c>
      <c r="P48" s="14"/>
      <c r="Q48" s="489" t="s">
        <v>84</v>
      </c>
      <c r="R48" s="489"/>
      <c r="S48" s="489"/>
      <c r="AD48" s="32"/>
      <c r="AE48" s="489" t="s">
        <v>84</v>
      </c>
      <c r="AF48" s="489"/>
      <c r="AG48" s="489"/>
      <c r="AH48"/>
      <c r="AO48" s="486"/>
      <c r="AP48" s="47" t="s">
        <v>54</v>
      </c>
      <c r="AQ48" s="52">
        <f t="shared" si="216"/>
        <v>226</v>
      </c>
      <c r="AR48" s="29">
        <f t="shared" si="217"/>
        <v>226</v>
      </c>
      <c r="AS48" s="118" t="str">
        <f t="shared" si="218"/>
        <v/>
      </c>
      <c r="AT48" s="29">
        <f t="shared" si="219"/>
        <v>226</v>
      </c>
      <c r="AU48" s="29">
        <f t="shared" si="220"/>
        <v>226</v>
      </c>
      <c r="AV48" s="16" t="str">
        <f t="shared" si="221"/>
        <v/>
      </c>
      <c r="AW48" s="498"/>
      <c r="BD48" s="485" t="s">
        <v>198</v>
      </c>
      <c r="BE48" s="47" t="s">
        <v>32</v>
      </c>
      <c r="BF48" s="49">
        <f>AB44</f>
        <v>8759</v>
      </c>
      <c r="BG48" s="49">
        <f>TRUNC(BQ12,0)</f>
        <v>8759</v>
      </c>
      <c r="BH48" s="118" t="str">
        <f>IF(BF48=BG48,"",IF(BG48&gt;BF48,CONCATENATE($A$3,TEXT((BG48-BF48),"$#,###")),TEXT((BG48-BF48),"$#,###")))</f>
        <v/>
      </c>
      <c r="BI48" s="28">
        <f>BF48</f>
        <v>8759</v>
      </c>
      <c r="BJ48" s="28">
        <f>BG48</f>
        <v>8759</v>
      </c>
      <c r="BK48" s="16" t="str">
        <f>IF(BI48=BJ48,"",IF(BJ48&gt;BI48,CONCATENATE($A$1,TEXT(((BJ48-BI48)/BI48),"##%")),CONCATENATE($A$2,TEXT(((BJ48-BI48)/BI48),"##%"))))</f>
        <v/>
      </c>
      <c r="BL48" s="498" t="str">
        <f>IF(BK51="","",CONCATENATE("Overall ",BK51))</f>
        <v/>
      </c>
      <c r="BS48" s="485" t="s">
        <v>208</v>
      </c>
      <c r="BT48" s="47" t="s">
        <v>32</v>
      </c>
      <c r="BU48" s="49">
        <f>TRUNC(BV12,0)</f>
        <v>8759</v>
      </c>
      <c r="BV48" s="49">
        <f>TRUNC(CF12,0)</f>
        <v>8759</v>
      </c>
      <c r="BW48" s="118" t="str">
        <f>IF(BU48=BV48,"",IF(BV48&gt;BU48,CONCATENATE($A$3,TEXT((BV48-BU48),"$#,###")),TEXT((BV48-BU48),"$#,###")))</f>
        <v/>
      </c>
      <c r="BX48" s="28">
        <f>BU48</f>
        <v>8759</v>
      </c>
      <c r="BY48" s="28">
        <f>BV48</f>
        <v>8759</v>
      </c>
      <c r="BZ48" s="16" t="str">
        <f>IF(BX48=BY48,"",IF(BY48&gt;BX48,CONCATENATE($A$1,TEXT(((BY48-BX48)/BX48),"##%")),CONCATENATE($A$2,TEXT(((BY48-BX48)/BX48),"##%"))))</f>
        <v/>
      </c>
      <c r="CA48" s="498" t="str">
        <f>IF(BZ51="","",CONCATENATE("Overall ",BZ51))</f>
        <v/>
      </c>
    </row>
    <row r="49" spans="2:79" ht="16.5" customHeight="1" x14ac:dyDescent="0.2">
      <c r="B49" s="486"/>
      <c r="C49" s="47" t="s">
        <v>33</v>
      </c>
      <c r="D49" s="39">
        <f t="shared" ref="D49:D50" si="222">E20</f>
        <v>256</v>
      </c>
      <c r="E49" s="39">
        <f t="shared" ref="E49:E50" si="223">I20</f>
        <v>256</v>
      </c>
      <c r="F49" s="118" t="str">
        <f t="shared" ref="F49:F51" si="224">IFERROR(IF(D49=E49,"",IF(E49&gt;D49,CONCATENATE($A$3,TEXT((E49-D49),"##")),TEXT((E49-D49),"##"))),"")</f>
        <v/>
      </c>
      <c r="G49" s="52">
        <f t="shared" ref="G49:G51" si="225">D49</f>
        <v>256</v>
      </c>
      <c r="H49" s="52">
        <f t="shared" ref="H49:H51" si="226">E49</f>
        <v>256</v>
      </c>
      <c r="I49" s="16" t="str">
        <f t="shared" ref="I49:I51" si="227">IF(G49=H49,"",IF(H49&gt;G49,CONCATENATE($A$1,TEXT(((H49-G49)/G49),"##%")),CONCATENATE($A$2,TEXT(((H49-G49)/G49),"##%"))))</f>
        <v/>
      </c>
      <c r="J49" s="498"/>
      <c r="M49" s="6"/>
      <c r="N49" s="35" t="s">
        <v>9</v>
      </c>
      <c r="O49" s="35" t="s">
        <v>10</v>
      </c>
      <c r="P49" s="43" t="s">
        <v>55</v>
      </c>
      <c r="Q49" s="35" t="s">
        <v>9</v>
      </c>
      <c r="R49" s="35" t="s">
        <v>10</v>
      </c>
      <c r="S49" s="43" t="s">
        <v>55</v>
      </c>
      <c r="AA49" s="6"/>
      <c r="AB49" s="35" t="s">
        <v>9</v>
      </c>
      <c r="AC49" s="35" t="s">
        <v>10</v>
      </c>
      <c r="AD49" s="43" t="s">
        <v>55</v>
      </c>
      <c r="AE49" s="35" t="s">
        <v>9</v>
      </c>
      <c r="AF49" s="35" t="s">
        <v>10</v>
      </c>
      <c r="AG49" s="43" t="s">
        <v>55</v>
      </c>
      <c r="AH49"/>
      <c r="AO49" s="487"/>
      <c r="AP49" s="47" t="s">
        <v>118</v>
      </c>
      <c r="AQ49" s="16">
        <f>SUM(AQ46:AQ48)</f>
        <v>492</v>
      </c>
      <c r="AR49" s="16">
        <f>SUM(AR46:AR48)</f>
        <v>492</v>
      </c>
      <c r="AS49" s="118" t="str">
        <f t="shared" si="218"/>
        <v/>
      </c>
      <c r="AT49" s="29">
        <f t="shared" si="219"/>
        <v>492</v>
      </c>
      <c r="AU49" s="29">
        <f t="shared" si="220"/>
        <v>492</v>
      </c>
      <c r="AV49" s="16" t="str">
        <f t="shared" si="221"/>
        <v/>
      </c>
      <c r="AW49" s="498"/>
      <c r="BD49" s="486"/>
      <c r="BE49" s="47" t="s">
        <v>33</v>
      </c>
      <c r="BF49" s="49">
        <f t="shared" ref="BF49:BF51" si="228">AB45</f>
        <v>18987</v>
      </c>
      <c r="BG49" s="49">
        <f t="shared" ref="BG49:BG50" si="229">TRUNC(BQ13,0)</f>
        <v>18987</v>
      </c>
      <c r="BH49" s="118" t="str">
        <f t="shared" ref="BH49:BH51" si="230">IF(BF49=BG49,"",IF(BG49&gt;BF49,CONCATENATE($A$3,TEXT((BG49-BF49),"$#,###")),TEXT((BG49-BF49),"$#,###")))</f>
        <v/>
      </c>
      <c r="BI49" s="28">
        <f t="shared" ref="BI49:BI51" si="231">BF49</f>
        <v>18987</v>
      </c>
      <c r="BJ49" s="28">
        <f t="shared" ref="BJ49:BJ51" si="232">BG49</f>
        <v>18987</v>
      </c>
      <c r="BK49" s="16" t="str">
        <f t="shared" ref="BK49:BK51" si="233">IF(BI49=BJ49,"",IF(BJ49&gt;BI49,CONCATENATE($A$1,TEXT(((BJ49-BI49)/BI49),"##%")),CONCATENATE($A$2,TEXT(((BJ49-BI49)/BI49),"##%"))))</f>
        <v/>
      </c>
      <c r="BL49" s="498"/>
      <c r="BS49" s="486"/>
      <c r="BT49" s="47" t="s">
        <v>33</v>
      </c>
      <c r="BU49" s="49">
        <f t="shared" ref="BU49:BU50" si="234">TRUNC(BV13,0)</f>
        <v>18987</v>
      </c>
      <c r="BV49" s="49">
        <f t="shared" ref="BV49:BV50" si="235">TRUNC(CF13,0)</f>
        <v>18987</v>
      </c>
      <c r="BW49" s="118" t="str">
        <f t="shared" ref="BW49:BW51" si="236">IF(BU49=BV49,"",IF(BV49&gt;BU49,CONCATENATE($A$3,TEXT((BV49-BU49),"$#,###")),TEXT((BV49-BU49),"$#,###")))</f>
        <v/>
      </c>
      <c r="BX49" s="28">
        <f t="shared" ref="BX49:BX51" si="237">BU49</f>
        <v>18987</v>
      </c>
      <c r="BY49" s="28">
        <f t="shared" ref="BY49:BY51" si="238">BV49</f>
        <v>18987</v>
      </c>
      <c r="BZ49" s="16" t="str">
        <f t="shared" ref="BZ49:BZ51" si="239">IF(BX49=BY49,"",IF(BY49&gt;BX49,CONCATENATE($A$1,TEXT(((BY49-BX49)/BX49),"##%")),CONCATENATE($A$2,TEXT(((BY49-BX49)/BX49),"##%"))))</f>
        <v/>
      </c>
      <c r="CA49" s="498"/>
    </row>
    <row r="50" spans="2:79" ht="16.5" customHeight="1" x14ac:dyDescent="0.2">
      <c r="B50" s="486"/>
      <c r="C50" s="47" t="s">
        <v>54</v>
      </c>
      <c r="D50" s="39">
        <f t="shared" si="222"/>
        <v>347</v>
      </c>
      <c r="E50" s="39">
        <f t="shared" si="223"/>
        <v>347</v>
      </c>
      <c r="F50" s="118" t="str">
        <f t="shared" si="224"/>
        <v/>
      </c>
      <c r="G50" s="52">
        <f t="shared" si="225"/>
        <v>347</v>
      </c>
      <c r="H50" s="52">
        <f t="shared" si="226"/>
        <v>347</v>
      </c>
      <c r="I50" s="16" t="str">
        <f t="shared" si="227"/>
        <v/>
      </c>
      <c r="J50" s="498"/>
      <c r="L50" s="485" t="s">
        <v>120</v>
      </c>
      <c r="M50" s="47" t="s">
        <v>32</v>
      </c>
      <c r="N50" s="48">
        <f>R19</f>
        <v>402</v>
      </c>
      <c r="O50" s="48">
        <f>W19</f>
        <v>402</v>
      </c>
      <c r="P50" s="118" t="str">
        <f>IF(N50=O50,"",IF(O50&gt;N50,CONCATENATE($A$3,TEXT((O50-N50),"##")),TEXT((O50-N50),"##")))</f>
        <v/>
      </c>
      <c r="Q50" s="52">
        <f>N50</f>
        <v>402</v>
      </c>
      <c r="R50" s="52">
        <f>O50</f>
        <v>402</v>
      </c>
      <c r="S50" s="16" t="str">
        <f>IF(Q50=R50,"",IF(R50&gt;Q50,CONCATENATE($A$1,TEXT(((R50-Q50)/Q50),"##%")),CONCATENATE($A$2,TEXT(((R50-Q50)/Q50),"##%"))))</f>
        <v/>
      </c>
      <c r="T50" s="499" t="str">
        <f>IF(S53="","",CONCATENATE("Overall ",S53))</f>
        <v/>
      </c>
      <c r="Z50" s="485" t="s">
        <v>182</v>
      </c>
      <c r="AA50" s="47" t="s">
        <v>32</v>
      </c>
      <c r="AB50" s="48">
        <f>AD19</f>
        <v>402</v>
      </c>
      <c r="AC50" s="48">
        <f>AJ19</f>
        <v>402</v>
      </c>
      <c r="AD50" s="118" t="str">
        <f>IF(AB50=AC50,"",IF(AC50&gt;AB50,CONCATENATE($A$3,TEXT((AC50-AB50),"##")),TEXT((AC50-AB50),"##")))</f>
        <v/>
      </c>
      <c r="AE50" s="52">
        <f>AB50</f>
        <v>402</v>
      </c>
      <c r="AF50" s="52">
        <f>AC50</f>
        <v>402</v>
      </c>
      <c r="AG50" s="16" t="str">
        <f>IF(AE50=AF50,"",IF(AF50&gt;AE50,CONCATENATE($A$1,TEXT(((AF50-AE50)/AE50),"##%")),CONCATENATE($A$2,TEXT(((AF50-AE50)/AE50),"##%"))))</f>
        <v/>
      </c>
      <c r="AH50" s="498" t="str">
        <f>IF(AG53="","",CONCATENATE("Overall ",AG53))</f>
        <v/>
      </c>
      <c r="BD50" s="486"/>
      <c r="BE50" s="47" t="s">
        <v>54</v>
      </c>
      <c r="BF50" s="49">
        <f t="shared" si="228"/>
        <v>3617</v>
      </c>
      <c r="BG50" s="49">
        <f t="shared" si="229"/>
        <v>3617</v>
      </c>
      <c r="BH50" s="118" t="str">
        <f t="shared" si="230"/>
        <v/>
      </c>
      <c r="BI50" s="28">
        <f t="shared" si="231"/>
        <v>3617</v>
      </c>
      <c r="BJ50" s="28">
        <f t="shared" si="232"/>
        <v>3617</v>
      </c>
      <c r="BK50" s="16" t="str">
        <f t="shared" si="233"/>
        <v/>
      </c>
      <c r="BL50" s="498"/>
      <c r="BS50" s="486"/>
      <c r="BT50" s="47" t="s">
        <v>54</v>
      </c>
      <c r="BU50" s="49">
        <f t="shared" si="234"/>
        <v>3617</v>
      </c>
      <c r="BV50" s="49">
        <f t="shared" si="235"/>
        <v>3617</v>
      </c>
      <c r="BW50" s="118" t="str">
        <f t="shared" si="236"/>
        <v/>
      </c>
      <c r="BX50" s="28">
        <f t="shared" si="237"/>
        <v>3617</v>
      </c>
      <c r="BY50" s="28">
        <f t="shared" si="238"/>
        <v>3617</v>
      </c>
      <c r="BZ50" s="16" t="str">
        <f t="shared" si="239"/>
        <v/>
      </c>
      <c r="CA50" s="498"/>
    </row>
    <row r="51" spans="2:79" ht="16.5" customHeight="1" x14ac:dyDescent="0.2">
      <c r="B51" s="487"/>
      <c r="C51" s="47" t="s">
        <v>118</v>
      </c>
      <c r="D51" s="39">
        <f>SUM(D48:D50)</f>
        <v>1005</v>
      </c>
      <c r="E51" s="39">
        <f>SUM(E48:E50)</f>
        <v>1005</v>
      </c>
      <c r="F51" s="118" t="str">
        <f t="shared" si="224"/>
        <v/>
      </c>
      <c r="G51" s="52">
        <f t="shared" si="225"/>
        <v>1005</v>
      </c>
      <c r="H51" s="52">
        <f t="shared" si="226"/>
        <v>1005</v>
      </c>
      <c r="I51" s="16" t="str">
        <f t="shared" si="227"/>
        <v/>
      </c>
      <c r="J51" s="498"/>
      <c r="L51" s="486"/>
      <c r="M51" s="47" t="s">
        <v>33</v>
      </c>
      <c r="N51" s="48">
        <f>R20</f>
        <v>256</v>
      </c>
      <c r="O51" s="48">
        <f>W20</f>
        <v>255.99999999999997</v>
      </c>
      <c r="P51" s="118" t="str">
        <f t="shared" ref="P51:P53" si="240">IF(N51=O51,"",IF(O51&gt;N51,CONCATENATE($A$3,TEXT((O51-N51),"##")),TEXT((O51-N51),"##")))</f>
        <v/>
      </c>
      <c r="Q51" s="52">
        <f t="shared" ref="Q51:Q53" si="241">N51</f>
        <v>256</v>
      </c>
      <c r="R51" s="52">
        <f t="shared" ref="R51:R53" si="242">O51</f>
        <v>255.99999999999997</v>
      </c>
      <c r="S51" s="16" t="str">
        <f t="shared" ref="S51:S53" si="243">IF(Q51=R51,"",IF(R51&gt;Q51,CONCATENATE($A$1,TEXT(((R51-Q51)/Q51),"##%")),CONCATENATE($A$2,TEXT(((R51-Q51)/Q51),"##%"))))</f>
        <v/>
      </c>
      <c r="T51" s="499"/>
      <c r="Z51" s="486"/>
      <c r="AA51" s="47" t="s">
        <v>33</v>
      </c>
      <c r="AB51" s="48">
        <f t="shared" ref="AB51:AB52" si="244">AD20</f>
        <v>256</v>
      </c>
      <c r="AC51" s="48">
        <f t="shared" ref="AC51:AC52" si="245">AJ20</f>
        <v>255.99999999999997</v>
      </c>
      <c r="AD51" s="118" t="str">
        <f t="shared" ref="AD51:AD53" si="246">IF(AB51=AC51,"",IF(AC51&gt;AB51,CONCATENATE($A$3,TEXT((AC51-AB51),"##")),TEXT((AC51-AB51),"##")))</f>
        <v/>
      </c>
      <c r="AE51" s="52">
        <f t="shared" ref="AE51:AE53" si="247">AB51</f>
        <v>256</v>
      </c>
      <c r="AF51" s="52">
        <f t="shared" ref="AF51:AF53" si="248">AC51</f>
        <v>255.99999999999997</v>
      </c>
      <c r="AG51" s="16" t="str">
        <f t="shared" ref="AG51:AG53" si="249">IF(AE51=AF51,"",IF(AF51&gt;AE51,CONCATENATE($A$1,TEXT(((AF51-AE51)/AE51),"##%")),CONCATENATE($A$2,TEXT(((AF51-AE51)/AE51),"##%"))))</f>
        <v/>
      </c>
      <c r="AH51" s="498"/>
      <c r="BD51" s="487"/>
      <c r="BE51" s="47" t="s">
        <v>118</v>
      </c>
      <c r="BF51" s="49">
        <f t="shared" si="228"/>
        <v>10454</v>
      </c>
      <c r="BG51" s="49">
        <f>TRUNC(AVERAGE(BG48:BG50),0)</f>
        <v>10454</v>
      </c>
      <c r="BH51" s="118" t="str">
        <f t="shared" si="230"/>
        <v/>
      </c>
      <c r="BI51" s="28">
        <f t="shared" si="231"/>
        <v>10454</v>
      </c>
      <c r="BJ51" s="28">
        <f t="shared" si="232"/>
        <v>10454</v>
      </c>
      <c r="BK51" s="16" t="str">
        <f t="shared" si="233"/>
        <v/>
      </c>
      <c r="BL51" s="498"/>
      <c r="BS51" s="487"/>
      <c r="BT51" s="47" t="s">
        <v>118</v>
      </c>
      <c r="BU51" s="49">
        <f>AVERAGE(BU48:BU50)</f>
        <v>10454.333333333334</v>
      </c>
      <c r="BV51" s="49">
        <f>AVERAGE(BV48:BV50)</f>
        <v>10454.333333333334</v>
      </c>
      <c r="BW51" s="118" t="str">
        <f t="shared" si="236"/>
        <v/>
      </c>
      <c r="BX51" s="28">
        <f t="shared" si="237"/>
        <v>10454.333333333334</v>
      </c>
      <c r="BY51" s="28">
        <f t="shared" si="238"/>
        <v>10454.333333333334</v>
      </c>
      <c r="BZ51" s="16" t="str">
        <f t="shared" si="239"/>
        <v/>
      </c>
      <c r="CA51" s="498"/>
    </row>
    <row r="52" spans="2:79" ht="16.5" customHeight="1" x14ac:dyDescent="0.2">
      <c r="B52"/>
      <c r="C52" s="10"/>
      <c r="D52" s="11"/>
      <c r="E52" s="11"/>
      <c r="L52" s="486"/>
      <c r="M52" s="47" t="s">
        <v>54</v>
      </c>
      <c r="N52" s="48">
        <f>R21</f>
        <v>347</v>
      </c>
      <c r="O52" s="48">
        <f>W21</f>
        <v>347</v>
      </c>
      <c r="P52" s="118" t="str">
        <f t="shared" si="240"/>
        <v/>
      </c>
      <c r="Q52" s="52">
        <f t="shared" si="241"/>
        <v>347</v>
      </c>
      <c r="R52" s="52">
        <f t="shared" si="242"/>
        <v>347</v>
      </c>
      <c r="S52" s="16" t="str">
        <f t="shared" si="243"/>
        <v/>
      </c>
      <c r="T52" s="499"/>
      <c r="Z52" s="486"/>
      <c r="AA52" s="47" t="s">
        <v>54</v>
      </c>
      <c r="AB52" s="48">
        <f t="shared" si="244"/>
        <v>347</v>
      </c>
      <c r="AC52" s="48">
        <f t="shared" si="245"/>
        <v>347</v>
      </c>
      <c r="AD52" s="118" t="str">
        <f t="shared" si="246"/>
        <v/>
      </c>
      <c r="AE52" s="52">
        <f t="shared" si="247"/>
        <v>347</v>
      </c>
      <c r="AF52" s="52">
        <f t="shared" si="248"/>
        <v>347</v>
      </c>
      <c r="AG52" s="16" t="str">
        <f t="shared" si="249"/>
        <v/>
      </c>
      <c r="AH52" s="498"/>
      <c r="AO52" s="15"/>
      <c r="AP52" s="15"/>
      <c r="AQ52" s="15"/>
      <c r="AR52" s="15"/>
      <c r="AS52" s="15"/>
      <c r="AT52" s="483" t="s">
        <v>84</v>
      </c>
      <c r="AU52" s="484"/>
      <c r="AX52" s="15"/>
      <c r="BD52"/>
      <c r="BE52"/>
      <c r="BS52"/>
      <c r="BT52"/>
    </row>
    <row r="53" spans="2:79" ht="16.5" customHeight="1" x14ac:dyDescent="0.2">
      <c r="B53"/>
      <c r="C53" s="10"/>
      <c r="D53" s="36" t="s">
        <v>5</v>
      </c>
      <c r="E53" s="36" t="s">
        <v>26</v>
      </c>
      <c r="F53"/>
      <c r="L53" s="487"/>
      <c r="M53" s="47" t="s">
        <v>118</v>
      </c>
      <c r="N53" s="48">
        <f>SUM(N50:N52)</f>
        <v>1005</v>
      </c>
      <c r="O53" s="48">
        <f>SUM(O50:O52)</f>
        <v>1005</v>
      </c>
      <c r="P53" s="118" t="str">
        <f t="shared" si="240"/>
        <v/>
      </c>
      <c r="Q53" s="52">
        <f t="shared" si="241"/>
        <v>1005</v>
      </c>
      <c r="R53" s="52">
        <f t="shared" si="242"/>
        <v>1005</v>
      </c>
      <c r="S53" s="16" t="str">
        <f t="shared" si="243"/>
        <v/>
      </c>
      <c r="T53" s="499"/>
      <c r="Z53" s="487"/>
      <c r="AA53" s="47" t="s">
        <v>118</v>
      </c>
      <c r="AB53" s="48">
        <f>SUM(AB50:AB52)</f>
        <v>1005</v>
      </c>
      <c r="AC53" s="48">
        <f>SUM(AC50:AC52)</f>
        <v>1005</v>
      </c>
      <c r="AD53" s="118" t="str">
        <f t="shared" si="246"/>
        <v/>
      </c>
      <c r="AE53" s="52">
        <f t="shared" si="247"/>
        <v>1005</v>
      </c>
      <c r="AF53" s="52">
        <f t="shared" si="248"/>
        <v>1005</v>
      </c>
      <c r="AG53" s="16" t="str">
        <f t="shared" si="249"/>
        <v/>
      </c>
      <c r="AH53" s="498"/>
      <c r="AO53" s="15"/>
      <c r="AP53" s="15"/>
      <c r="AQ53" s="43" t="s">
        <v>5</v>
      </c>
      <c r="AR53" s="43" t="s">
        <v>6</v>
      </c>
      <c r="AS53" s="43" t="s">
        <v>55</v>
      </c>
      <c r="AT53" s="43" t="s">
        <v>5</v>
      </c>
      <c r="AU53" s="43" t="s">
        <v>6</v>
      </c>
      <c r="AX53" s="15"/>
      <c r="BD53"/>
      <c r="BE53"/>
      <c r="BF53" s="36" t="s">
        <v>5</v>
      </c>
      <c r="BG53" s="36" t="s">
        <v>26</v>
      </c>
      <c r="BS53"/>
      <c r="BT53"/>
      <c r="BU53" s="36" t="s">
        <v>5</v>
      </c>
      <c r="BV53" s="36" t="s">
        <v>26</v>
      </c>
    </row>
    <row r="54" spans="2:79" ht="16.5" customHeight="1" x14ac:dyDescent="0.2">
      <c r="B54" s="491" t="s">
        <v>192</v>
      </c>
      <c r="C54" s="34" t="s">
        <v>121</v>
      </c>
      <c r="D54" s="40">
        <f>'2.Data Input'!F7</f>
        <v>265</v>
      </c>
      <c r="E54" s="40">
        <f>D54</f>
        <v>265</v>
      </c>
      <c r="F54"/>
      <c r="L54"/>
      <c r="M54" s="6"/>
      <c r="N54" s="6"/>
      <c r="O54" s="6"/>
      <c r="P54" s="14"/>
      <c r="Q54" s="489" t="s">
        <v>84</v>
      </c>
      <c r="R54" s="489"/>
      <c r="S54" s="489"/>
      <c r="Z54"/>
      <c r="AA54" s="6"/>
      <c r="AB54" s="6"/>
      <c r="AC54" s="6"/>
      <c r="AD54" s="32"/>
      <c r="AE54" s="489" t="s">
        <v>84</v>
      </c>
      <c r="AF54" s="489"/>
      <c r="AG54" s="489"/>
      <c r="AH54"/>
      <c r="AO54" s="485" t="s">
        <v>195</v>
      </c>
      <c r="AP54" s="47" t="s">
        <v>32</v>
      </c>
      <c r="AQ54" s="53">
        <f>AT19</f>
        <v>0.13432835820895522</v>
      </c>
      <c r="AR54" s="53">
        <f>AX19</f>
        <v>0.13432835820895522</v>
      </c>
      <c r="AS54" s="16" t="str">
        <f>IF(AQ54=AR54,"",IF(AR54&gt;AQ54,CONCATENATE($A$1,TEXT(((AR54-AQ54)/AQ54),"##%")),CONCATENATE($A$2,TEXT(((AR54-AQ54)/AQ54),"##%"))))</f>
        <v/>
      </c>
      <c r="AT54" s="53">
        <f>AQ54</f>
        <v>0.13432835820895522</v>
      </c>
      <c r="AU54" s="53">
        <f>AR54</f>
        <v>0.13432835820895522</v>
      </c>
      <c r="AV54" s="519" t="str">
        <f>BK91</f>
        <v/>
      </c>
      <c r="AX54" s="15"/>
      <c r="BD54" s="485" t="s">
        <v>199</v>
      </c>
      <c r="BE54" s="34" t="s">
        <v>121</v>
      </c>
      <c r="BF54" s="40">
        <f>D43</f>
        <v>80</v>
      </c>
      <c r="BG54" s="40">
        <f>BF54</f>
        <v>80</v>
      </c>
      <c r="BS54" s="485" t="s">
        <v>209</v>
      </c>
      <c r="BT54" s="34" t="s">
        <v>121</v>
      </c>
      <c r="BU54" s="40">
        <f>'2.Data Input'!F6</f>
        <v>80</v>
      </c>
      <c r="BV54" s="40">
        <f>BU54</f>
        <v>80</v>
      </c>
    </row>
    <row r="55" spans="2:79" ht="16.5" customHeight="1" x14ac:dyDescent="0.2">
      <c r="B55" s="493"/>
      <c r="C55" s="33" t="s">
        <v>122</v>
      </c>
      <c r="D55" s="41"/>
      <c r="E55" s="42" t="str">
        <f>IF(TRUNC(J22,0)=0,"",TRUNC(J22,0))</f>
        <v/>
      </c>
      <c r="F55"/>
      <c r="L55"/>
      <c r="M55" s="6"/>
      <c r="N55" s="46" t="s">
        <v>49</v>
      </c>
      <c r="O55" s="46" t="s">
        <v>50</v>
      </c>
      <c r="P55" s="43" t="s">
        <v>55</v>
      </c>
      <c r="Q55" s="35" t="s">
        <v>9</v>
      </c>
      <c r="R55" s="35" t="s">
        <v>10</v>
      </c>
      <c r="S55" s="43" t="s">
        <v>55</v>
      </c>
      <c r="Z55"/>
      <c r="AA55" s="6"/>
      <c r="AB55" s="46" t="s">
        <v>49</v>
      </c>
      <c r="AC55" s="46" t="s">
        <v>50</v>
      </c>
      <c r="AD55" s="43" t="s">
        <v>55</v>
      </c>
      <c r="AE55" s="35" t="s">
        <v>9</v>
      </c>
      <c r="AF55" s="35" t="s">
        <v>10</v>
      </c>
      <c r="AG55" s="43" t="s">
        <v>55</v>
      </c>
      <c r="AH55"/>
      <c r="AO55" s="486"/>
      <c r="AP55" s="47" t="s">
        <v>33</v>
      </c>
      <c r="AQ55" s="53">
        <f t="shared" ref="AQ55:AQ56" si="250">AT20</f>
        <v>8.203125E-2</v>
      </c>
      <c r="AR55" s="53">
        <f t="shared" ref="AR55:AR56" si="251">AX20</f>
        <v>8.203125E-2</v>
      </c>
      <c r="AS55" s="16" t="str">
        <f t="shared" ref="AS55:AS57" si="252">IF(AQ55=AR55,"",IF(AR55&gt;AQ55,CONCATENATE($A$1,TEXT(((AR55-AQ55)/AQ55),"##%")),CONCATENATE($A$2,TEXT(((AR55-AQ55)/AQ55),"##%"))))</f>
        <v/>
      </c>
      <c r="AT55" s="53">
        <f t="shared" ref="AT55:AT57" si="253">AQ55</f>
        <v>8.203125E-2</v>
      </c>
      <c r="AU55" s="53">
        <f t="shared" ref="AU55:AU57" si="254">AR55</f>
        <v>8.203125E-2</v>
      </c>
      <c r="AV55" s="519"/>
      <c r="AX55" s="15"/>
      <c r="BD55" s="487"/>
      <c r="BE55" s="33" t="s">
        <v>122</v>
      </c>
      <c r="BF55" s="41">
        <v>0</v>
      </c>
      <c r="BG55" s="39" t="str">
        <f>IF(BL15=BG54,"",BL15-BG54)</f>
        <v/>
      </c>
      <c r="BS55" s="487"/>
      <c r="BT55" s="33" t="s">
        <v>122</v>
      </c>
      <c r="BU55" s="41">
        <v>0</v>
      </c>
      <c r="BV55" s="39" t="str">
        <f>IF(CA15=BV54,"",CA15-BV54)</f>
        <v/>
      </c>
    </row>
    <row r="56" spans="2:79" ht="16.5" customHeight="1" x14ac:dyDescent="0.2">
      <c r="L56" s="485" t="s">
        <v>188</v>
      </c>
      <c r="M56" s="47" t="s">
        <v>32</v>
      </c>
      <c r="N56" s="49">
        <f>TRUNC(S19,0)</f>
        <v>7960</v>
      </c>
      <c r="O56" s="49">
        <f>TRUNC(X19,0)</f>
        <v>7960</v>
      </c>
      <c r="P56" s="118" t="str">
        <f>IF(N56=O56,"",IF(O56&gt;N56,CONCATENATE($A$3,TEXT((O56-N56),"$#,###")),TEXT((O56-N56),"$#,###")))</f>
        <v/>
      </c>
      <c r="Q56" s="28">
        <f>N56</f>
        <v>7960</v>
      </c>
      <c r="R56" s="28">
        <f>O56</f>
        <v>7960</v>
      </c>
      <c r="S56" s="16" t="str">
        <f>IF(Q56=R56,"",IF(R56&gt;Q56,CONCATENATE($A$1,TEXT(((R56-Q56)/Q56),"##%")),CONCATENATE($A$2,TEXT(((R56-Q56)/Q56),"##%"))))</f>
        <v/>
      </c>
      <c r="T56" s="499" t="str">
        <f>IF(S59="","",CONCATENATE("Overall ",S59))</f>
        <v/>
      </c>
      <c r="Z56" s="485" t="s">
        <v>183</v>
      </c>
      <c r="AA56" s="47" t="s">
        <v>32</v>
      </c>
      <c r="AB56" s="49">
        <f t="shared" ref="AB56:AB58" si="255">TRUNC(N56,0)</f>
        <v>7960</v>
      </c>
      <c r="AC56" s="49">
        <f>TRUNC(AK19,0)</f>
        <v>7960</v>
      </c>
      <c r="AD56" s="118" t="str">
        <f>IF(AB56=AC56,"",IF(AC56&gt;AB56,CONCATENATE($A$3,TEXT((AC56-AB56),"$#,###")),TEXT((AC56-AB56),"$#,###")))</f>
        <v/>
      </c>
      <c r="AE56" s="28">
        <f>AB56</f>
        <v>7960</v>
      </c>
      <c r="AF56" s="28">
        <f>AC56</f>
        <v>7960</v>
      </c>
      <c r="AG56" s="16" t="str">
        <f>IF(AE56=AF56,"",IF(AF56&gt;AE56,CONCATENATE($A$1,TEXT(((AF56-AE56)/AE56),"##%")),CONCATENATE($A$2,TEXT(((AF56-AE56)/AE56),"##%"))))</f>
        <v/>
      </c>
      <c r="AH56" s="498" t="str">
        <f>IF(AG59="","",CONCATENATE("Overall ",AG59))</f>
        <v/>
      </c>
      <c r="AO56" s="486"/>
      <c r="AP56" s="47" t="s">
        <v>54</v>
      </c>
      <c r="AQ56" s="53">
        <f t="shared" si="250"/>
        <v>5.4755043227665709E-2</v>
      </c>
      <c r="AR56" s="53">
        <f t="shared" si="251"/>
        <v>5.4755043227665709E-2</v>
      </c>
      <c r="AS56" s="16" t="str">
        <f t="shared" si="252"/>
        <v/>
      </c>
      <c r="AT56" s="53">
        <f t="shared" si="253"/>
        <v>5.4755043227665709E-2</v>
      </c>
      <c r="AU56" s="53">
        <f t="shared" si="254"/>
        <v>5.4755043227665709E-2</v>
      </c>
      <c r="AV56" s="519"/>
      <c r="AX56" s="15"/>
      <c r="BD56"/>
      <c r="BE56"/>
      <c r="BH56" s="23"/>
      <c r="BI56" s="489" t="s">
        <v>84</v>
      </c>
      <c r="BJ56" s="489"/>
      <c r="BK56" s="489"/>
      <c r="BL56" s="23"/>
      <c r="BS56"/>
      <c r="BT56"/>
      <c r="BW56" s="23"/>
      <c r="BX56" s="489" t="s">
        <v>84</v>
      </c>
      <c r="BY56" s="489"/>
      <c r="BZ56" s="489"/>
      <c r="CA56" s="23"/>
    </row>
    <row r="57" spans="2:79" ht="16.5" customHeight="1" x14ac:dyDescent="0.2">
      <c r="L57" s="486"/>
      <c r="M57" s="47" t="s">
        <v>33</v>
      </c>
      <c r="N57" s="49">
        <f t="shared" ref="N57:N58" si="256">TRUNC(S20,0)</f>
        <v>18750</v>
      </c>
      <c r="O57" s="49">
        <f t="shared" ref="O57:O58" si="257">TRUNC(X20,0)</f>
        <v>18750</v>
      </c>
      <c r="P57" s="118" t="str">
        <f t="shared" ref="P57:P59" si="258">IF(N57=O57,"",IF(O57&gt;N57,CONCATENATE($A$3,TEXT((O57-N57),"$#,###")),TEXT((O57-N57),"$#,###")))</f>
        <v/>
      </c>
      <c r="Q57" s="28">
        <f t="shared" ref="Q57:Q59" si="259">N57</f>
        <v>18750</v>
      </c>
      <c r="R57" s="28">
        <f t="shared" ref="R57:R59" si="260">O57</f>
        <v>18750</v>
      </c>
      <c r="S57" s="16" t="str">
        <f t="shared" ref="S57:S59" si="261">IF(Q57=R57,"",IF(R57&gt;Q57,CONCATENATE($A$1,TEXT(((R57-Q57)/Q57),"##%")),CONCATENATE($A$2,TEXT(((R57-Q57)/Q57),"##%"))))</f>
        <v/>
      </c>
      <c r="T57" s="499"/>
      <c r="Z57" s="486"/>
      <c r="AA57" s="47" t="s">
        <v>33</v>
      </c>
      <c r="AB57" s="49">
        <f t="shared" si="255"/>
        <v>18750</v>
      </c>
      <c r="AC57" s="49">
        <f t="shared" ref="AC57:AC58" si="262">TRUNC(AK20,0)</f>
        <v>18750</v>
      </c>
      <c r="AD57" s="118" t="str">
        <f t="shared" ref="AD57:AD59" si="263">IF(AB57=AC57,"",IF(AC57&gt;AB57,CONCATENATE($A$3,TEXT((AC57-AB57),"$#,###")),TEXT((AC57-AB57),"$#,###")))</f>
        <v/>
      </c>
      <c r="AE57" s="28">
        <f t="shared" ref="AE57:AE59" si="264">AB57</f>
        <v>18750</v>
      </c>
      <c r="AF57" s="28">
        <f t="shared" ref="AF57:AF59" si="265">AC57</f>
        <v>18750</v>
      </c>
      <c r="AG57" s="16" t="str">
        <f t="shared" ref="AG57:AG59" si="266">IF(AE57=AF57,"",IF(AF57&gt;AE57,CONCATENATE($A$1,TEXT(((AF57-AE57)/AE57),"##%")),CONCATENATE($A$2,TEXT(((AF57-AE57)/AE57),"##%"))))</f>
        <v/>
      </c>
      <c r="AH57" s="498"/>
      <c r="AO57" s="487"/>
      <c r="AP57" s="47" t="s">
        <v>118</v>
      </c>
      <c r="AQ57" s="53">
        <f>AVERAGE(AQ54:AQ56)</f>
        <v>9.0371550478873644E-2</v>
      </c>
      <c r="AR57" s="53">
        <f>AVERAGE(AR54:AR56)</f>
        <v>9.0371550478873644E-2</v>
      </c>
      <c r="AS57" s="16" t="str">
        <f t="shared" si="252"/>
        <v/>
      </c>
      <c r="AT57" s="53">
        <f t="shared" si="253"/>
        <v>9.0371550478873644E-2</v>
      </c>
      <c r="AU57" s="53">
        <f t="shared" si="254"/>
        <v>9.0371550478873644E-2</v>
      </c>
      <c r="AV57" s="520"/>
      <c r="AX57" s="15"/>
      <c r="BD57"/>
      <c r="BE57"/>
      <c r="BF57" s="35" t="s">
        <v>9</v>
      </c>
      <c r="BG57" s="35" t="s">
        <v>10</v>
      </c>
      <c r="BH57" s="117" t="s">
        <v>55</v>
      </c>
      <c r="BI57" s="35" t="s">
        <v>9</v>
      </c>
      <c r="BJ57" s="35" t="s">
        <v>10</v>
      </c>
      <c r="BK57" s="43" t="s">
        <v>55</v>
      </c>
      <c r="BL57" s="23"/>
      <c r="BS57"/>
      <c r="BT57"/>
      <c r="BU57" s="35" t="s">
        <v>9</v>
      </c>
      <c r="BV57" s="35" t="s">
        <v>10</v>
      </c>
      <c r="BW57" s="117" t="s">
        <v>55</v>
      </c>
      <c r="BX57" s="35" t="s">
        <v>9</v>
      </c>
      <c r="BY57" s="35" t="s">
        <v>10</v>
      </c>
      <c r="BZ57" s="43" t="s">
        <v>55</v>
      </c>
      <c r="CA57" s="23"/>
    </row>
    <row r="58" spans="2:79" ht="16.5" customHeight="1" x14ac:dyDescent="0.2">
      <c r="C58" s="222" t="s">
        <v>15</v>
      </c>
      <c r="D58" s="222" t="s">
        <v>73</v>
      </c>
      <c r="E58" s="222" t="s">
        <v>74</v>
      </c>
      <c r="F58" s="222" t="s">
        <v>75</v>
      </c>
      <c r="L58" s="486"/>
      <c r="M58" s="47" t="s">
        <v>54</v>
      </c>
      <c r="N58" s="49">
        <f t="shared" si="256"/>
        <v>4308</v>
      </c>
      <c r="O58" s="49">
        <f t="shared" si="257"/>
        <v>4308</v>
      </c>
      <c r="P58" s="118" t="str">
        <f t="shared" si="258"/>
        <v/>
      </c>
      <c r="Q58" s="28">
        <f t="shared" si="259"/>
        <v>4308</v>
      </c>
      <c r="R58" s="28">
        <f t="shared" si="260"/>
        <v>4308</v>
      </c>
      <c r="S58" s="16" t="str">
        <f t="shared" si="261"/>
        <v/>
      </c>
      <c r="T58" s="499"/>
      <c r="Z58" s="486"/>
      <c r="AA58" s="47" t="s">
        <v>54</v>
      </c>
      <c r="AB58" s="49">
        <f t="shared" si="255"/>
        <v>4308</v>
      </c>
      <c r="AC58" s="49">
        <f t="shared" si="262"/>
        <v>4308</v>
      </c>
      <c r="AD58" s="118" t="str">
        <f t="shared" si="263"/>
        <v/>
      </c>
      <c r="AE58" s="28">
        <f t="shared" si="264"/>
        <v>4308</v>
      </c>
      <c r="AF58" s="28">
        <f t="shared" si="265"/>
        <v>4308</v>
      </c>
      <c r="AG58" s="16" t="str">
        <f t="shared" si="266"/>
        <v/>
      </c>
      <c r="AH58" s="498"/>
      <c r="AP58" s="6"/>
      <c r="AQ58" s="15"/>
      <c r="AR58" s="15"/>
      <c r="AS58" s="15"/>
      <c r="AT58" s="489" t="s">
        <v>84</v>
      </c>
      <c r="AU58" s="489"/>
      <c r="AV58" s="489"/>
      <c r="AX58" s="15"/>
      <c r="BD58" s="485" t="s">
        <v>200</v>
      </c>
      <c r="BE58" s="47" t="s">
        <v>32</v>
      </c>
      <c r="BF58" s="48">
        <f>AB50</f>
        <v>402</v>
      </c>
      <c r="BG58" s="48">
        <f>BO19</f>
        <v>402</v>
      </c>
      <c r="BH58" s="118" t="str">
        <f>IF(BF58=BG58,"",IF(BG58&gt;BF58,CONCATENATE($A$3,TEXT((BG58-BF58),"##")),TEXT((BG58-BF58),"##")))</f>
        <v/>
      </c>
      <c r="BI58" s="52">
        <f>BF58</f>
        <v>402</v>
      </c>
      <c r="BJ58" s="52">
        <f>BG58</f>
        <v>402</v>
      </c>
      <c r="BK58" s="16" t="str">
        <f>IF(BI58=BJ58,"",IF(BJ58&gt;BI58,CONCATENATE($A$1,TEXT(((BJ58-BI58)/BI58),"##%")),CONCATENATE($A$2,TEXT(((BJ58-BI58)/BI58),"##%"))))</f>
        <v/>
      </c>
      <c r="BL58" s="498" t="str">
        <f>IF(BK61="","",CONCATENATE("Overall ",BK61))</f>
        <v/>
      </c>
      <c r="BS58" s="485" t="s">
        <v>210</v>
      </c>
      <c r="BT58" s="47" t="s">
        <v>32</v>
      </c>
      <c r="BU58" s="48">
        <f>BU19</f>
        <v>402</v>
      </c>
      <c r="BV58" s="48">
        <f>CD19</f>
        <v>402</v>
      </c>
      <c r="BW58" s="118" t="str">
        <f>IF(BU58=BV58,"",IF(BV58&gt;BU58,CONCATENATE($A$3,TEXT((BV58-BU58),"#,###")),TEXT((BV58-BU58),"##")))</f>
        <v/>
      </c>
      <c r="BX58" s="52">
        <f>BU58</f>
        <v>402</v>
      </c>
      <c r="BY58" s="52">
        <f>BV58</f>
        <v>402</v>
      </c>
      <c r="BZ58" s="16" t="str">
        <f>IF(BX58=BY58,"",IF(BY58&gt;BX58,CONCATENATE($A$1,TEXT(((BY58-BX58)/BX58),"##%")),CONCATENATE($A$2,TEXT(((BY58-BX58)/BX58),"##%"))))</f>
        <v/>
      </c>
      <c r="CA58" s="498" t="str">
        <f>IF(BZ61="","",CONCATENATE("Overall ",BZ61))</f>
        <v/>
      </c>
    </row>
    <row r="59" spans="2:79" ht="16.5" customHeight="1" x14ac:dyDescent="0.2">
      <c r="C59" s="27" t="s">
        <v>4</v>
      </c>
      <c r="D59" s="28">
        <f>IF('8.Change Investments'!F4=0,NA(),'8.Change Investments'!F4)</f>
        <v>2000000</v>
      </c>
      <c r="E59" s="28">
        <f>IF('8.Change Investments'!L4=0,NA(),'8.Change Investments'!L4)</f>
        <v>1200000</v>
      </c>
      <c r="F59" s="28">
        <f>SUMIF(D59:E59,"&lt;&gt;"&amp;"#N/A")</f>
        <v>3200000</v>
      </c>
      <c r="L59" s="487"/>
      <c r="M59" s="47" t="s">
        <v>118</v>
      </c>
      <c r="N59" s="49">
        <f>AVERAGE(N56:N58)</f>
        <v>10339.333333333334</v>
      </c>
      <c r="O59" s="49">
        <f>AVERAGE(O56:O58)</f>
        <v>10339.333333333334</v>
      </c>
      <c r="P59" s="118" t="str">
        <f t="shared" si="258"/>
        <v/>
      </c>
      <c r="Q59" s="28">
        <f t="shared" si="259"/>
        <v>10339.333333333334</v>
      </c>
      <c r="R59" s="28">
        <f t="shared" si="260"/>
        <v>10339.333333333334</v>
      </c>
      <c r="S59" s="16" t="str">
        <f t="shared" si="261"/>
        <v/>
      </c>
      <c r="T59" s="499"/>
      <c r="Z59" s="487"/>
      <c r="AA59" s="47" t="s">
        <v>118</v>
      </c>
      <c r="AB59" s="49">
        <f>TRUNC(N59,0)</f>
        <v>10339</v>
      </c>
      <c r="AC59" s="49">
        <f>TRUNC(AVERAGE(AC56:AC58),0)</f>
        <v>10339</v>
      </c>
      <c r="AD59" s="118" t="str">
        <f t="shared" si="263"/>
        <v/>
      </c>
      <c r="AE59" s="28">
        <f t="shared" si="264"/>
        <v>10339</v>
      </c>
      <c r="AF59" s="28">
        <f t="shared" si="265"/>
        <v>10339</v>
      </c>
      <c r="AG59" s="16" t="str">
        <f t="shared" si="266"/>
        <v/>
      </c>
      <c r="AH59" s="498"/>
      <c r="AP59" s="6"/>
      <c r="AQ59" s="43" t="s">
        <v>5</v>
      </c>
      <c r="AR59" s="43" t="s">
        <v>6</v>
      </c>
      <c r="AS59" s="43" t="s">
        <v>55</v>
      </c>
      <c r="AT59" s="43" t="s">
        <v>5</v>
      </c>
      <c r="AU59" s="43" t="s">
        <v>6</v>
      </c>
      <c r="AV59" s="43" t="s">
        <v>55</v>
      </c>
      <c r="AX59" s="15"/>
      <c r="BD59" s="486"/>
      <c r="BE59" s="47" t="s">
        <v>33</v>
      </c>
      <c r="BF59" s="48">
        <f t="shared" ref="BF59:BF60" si="267">AB51</f>
        <v>256</v>
      </c>
      <c r="BG59" s="48">
        <f t="shared" ref="BG59:BG60" si="268">BO20</f>
        <v>256</v>
      </c>
      <c r="BH59" s="118" t="str">
        <f t="shared" ref="BH59:BH61" si="269">IF(BF59=BG59,"",IF(BG59&gt;BF59,CONCATENATE($A$3,TEXT((BG59-BF59),"##")),TEXT((BG59-BF59),"##")))</f>
        <v/>
      </c>
      <c r="BI59" s="52">
        <f t="shared" ref="BI59:BI61" si="270">BF59</f>
        <v>256</v>
      </c>
      <c r="BJ59" s="52">
        <f t="shared" ref="BJ59:BJ61" si="271">BG59</f>
        <v>256</v>
      </c>
      <c r="BK59" s="16" t="str">
        <f t="shared" ref="BK59:BK61" si="272">IF(BI59=BJ59,"",IF(BJ59&gt;BI59,CONCATENATE($A$1,TEXT(((BJ59-BI59)/BI59),"##%")),CONCATENATE($A$2,TEXT(((BJ59-BI59)/BI59),"##%"))))</f>
        <v/>
      </c>
      <c r="BL59" s="498"/>
      <c r="BS59" s="486"/>
      <c r="BT59" s="47" t="s">
        <v>33</v>
      </c>
      <c r="BU59" s="48">
        <f t="shared" ref="BU59:BU60" si="273">BU20</f>
        <v>256</v>
      </c>
      <c r="BV59" s="48">
        <f t="shared" ref="BV59:BV60" si="274">CD20</f>
        <v>256</v>
      </c>
      <c r="BW59" s="118" t="str">
        <f t="shared" ref="BW59:BW61" si="275">IF(BU59=BV59,"",IF(BV59&gt;BU59,CONCATENATE($A$3,TEXT((BV59-BU59),"#,###")),TEXT((BV59-BU59),"##")))</f>
        <v/>
      </c>
      <c r="BX59" s="52">
        <f t="shared" ref="BX59:BX61" si="276">BU59</f>
        <v>256</v>
      </c>
      <c r="BY59" s="52">
        <f t="shared" ref="BY59:BY61" si="277">BV59</f>
        <v>256</v>
      </c>
      <c r="BZ59" s="16" t="str">
        <f t="shared" ref="BZ59:BZ61" si="278">IF(BX59=BY59,"",IF(BY59&gt;BX59,CONCATENATE($A$1,TEXT(((BY59-BX59)/BX59),"##%")),CONCATENATE($A$2,TEXT(((BY59-BX59)/BX59),"##%"))))</f>
        <v/>
      </c>
      <c r="CA59" s="498"/>
    </row>
    <row r="60" spans="2:79" ht="16.5" customHeight="1" x14ac:dyDescent="0.2">
      <c r="C60" s="27" t="s">
        <v>3</v>
      </c>
      <c r="D60" s="28">
        <f>IF('8.Change Investments'!F5=0,NA(),'8.Change Investments'!F5)</f>
        <v>1800000</v>
      </c>
      <c r="E60" s="28">
        <f>IF('8.Change Investments'!L5=0,NA(),'8.Change Investments'!L5)</f>
        <v>3000000</v>
      </c>
      <c r="F60" s="28">
        <f t="shared" ref="F60:F62" si="279">SUMIF(D60:E60,"&lt;&gt;"&amp;"#N/A")</f>
        <v>4800000</v>
      </c>
      <c r="AO60" s="485" t="s">
        <v>196</v>
      </c>
      <c r="AP60" s="47" t="s">
        <v>32</v>
      </c>
      <c r="AQ60" s="52">
        <f>AU19</f>
        <v>348</v>
      </c>
      <c r="AR60" s="29">
        <f>BA19</f>
        <v>348</v>
      </c>
      <c r="AS60" s="118" t="str">
        <f>IF(AQ60=AR60,"",IF(AR60&gt;AQ60,CONCATENATE($A$3,TEXT((AR60-AQ60),"#,###")),TEXT((AR60-AQ60),"#,###")))</f>
        <v/>
      </c>
      <c r="AT60" s="29">
        <f>AQ60</f>
        <v>348</v>
      </c>
      <c r="AU60" s="29">
        <f>AR60</f>
        <v>348</v>
      </c>
      <c r="AV60" s="16" t="str">
        <f>IF(AT60=AU60,"",IF(AU60&gt;AT60,CONCATENATE($A$1,TEXT(ROUNDUP((AU60-AT60)/AT60,2),"##%")),CONCATENATE($A$2,TEXT(ROUNDUP((AU60-AT60)/AT60,2),"##%"))))</f>
        <v/>
      </c>
      <c r="AW60" s="498" t="str">
        <f>IF(AV63="","",CONCATENATE("Overall ",AV63))</f>
        <v/>
      </c>
      <c r="BD60" s="486"/>
      <c r="BE60" s="47" t="s">
        <v>54</v>
      </c>
      <c r="BF60" s="48">
        <f t="shared" si="267"/>
        <v>347</v>
      </c>
      <c r="BG60" s="48">
        <f t="shared" si="268"/>
        <v>347</v>
      </c>
      <c r="BH60" s="118" t="str">
        <f t="shared" si="269"/>
        <v/>
      </c>
      <c r="BI60" s="52">
        <f t="shared" si="270"/>
        <v>347</v>
      </c>
      <c r="BJ60" s="52">
        <f t="shared" si="271"/>
        <v>347</v>
      </c>
      <c r="BK60" s="16" t="str">
        <f t="shared" si="272"/>
        <v/>
      </c>
      <c r="BL60" s="498"/>
      <c r="BS60" s="486"/>
      <c r="BT60" s="47" t="s">
        <v>54</v>
      </c>
      <c r="BU60" s="48">
        <f t="shared" si="273"/>
        <v>347</v>
      </c>
      <c r="BV60" s="48">
        <f t="shared" si="274"/>
        <v>347</v>
      </c>
      <c r="BW60" s="118" t="str">
        <f t="shared" si="275"/>
        <v/>
      </c>
      <c r="BX60" s="52">
        <f t="shared" si="276"/>
        <v>347</v>
      </c>
      <c r="BY60" s="52">
        <f t="shared" si="277"/>
        <v>347</v>
      </c>
      <c r="BZ60" s="16" t="str">
        <f t="shared" si="278"/>
        <v/>
      </c>
      <c r="CA60" s="498"/>
    </row>
    <row r="61" spans="2:79" ht="16.5" customHeight="1" x14ac:dyDescent="0.2">
      <c r="C61" s="27" t="s">
        <v>2</v>
      </c>
      <c r="D61" s="28">
        <f>IF('8.Change Investments'!F6=0,NA(),'8.Change Investments'!F6)</f>
        <v>645000</v>
      </c>
      <c r="E61" s="28">
        <f>IF('8.Change Investments'!L6=0,NA(),'8.Change Investments'!L6)</f>
        <v>850000</v>
      </c>
      <c r="F61" s="28">
        <f t="shared" si="279"/>
        <v>1495000</v>
      </c>
      <c r="N61" s="319" t="s">
        <v>7</v>
      </c>
      <c r="O61" s="319" t="s">
        <v>8</v>
      </c>
      <c r="P61" s="43" t="s">
        <v>55</v>
      </c>
      <c r="Q61" s="319" t="s">
        <v>7</v>
      </c>
      <c r="R61" s="319" t="s">
        <v>8</v>
      </c>
      <c r="S61" s="43" t="s">
        <v>55</v>
      </c>
      <c r="AO61" s="486"/>
      <c r="AP61" s="47" t="s">
        <v>33</v>
      </c>
      <c r="AQ61" s="52">
        <f t="shared" ref="AQ61:AQ62" si="280">AU20</f>
        <v>235</v>
      </c>
      <c r="AR61" s="29">
        <f t="shared" ref="AR61:AR62" si="281">BA20</f>
        <v>234.99999999999997</v>
      </c>
      <c r="AS61" s="118" t="str">
        <f t="shared" ref="AS61:AS63" si="282">IF(AQ61=AR61,"",IF(AR61&gt;AQ61,CONCATENATE($A$3,TEXT((AR61-AQ61),"#,###")),TEXT((AR61-AQ61),"#,###")))</f>
        <v/>
      </c>
      <c r="AT61" s="29">
        <f t="shared" ref="AT61:AT63" si="283">AQ61</f>
        <v>235</v>
      </c>
      <c r="AU61" s="29">
        <f t="shared" ref="AU61:AU63" si="284">AR61</f>
        <v>234.99999999999997</v>
      </c>
      <c r="AV61" s="16" t="str">
        <f t="shared" ref="AV61:AV63" si="285">IF(AT61=AU61,"",IF(AU61&gt;AT61,CONCATENATE($A$1,TEXT(ROUNDUP((AU61-AT61)/AT61,2),"##%")),CONCATENATE($A$2,TEXT(ROUNDUP((AU61-AT61)/AT61,2),"##%"))))</f>
        <v/>
      </c>
      <c r="AW61" s="498"/>
      <c r="BD61" s="487"/>
      <c r="BE61" s="47" t="s">
        <v>118</v>
      </c>
      <c r="BF61" s="48">
        <f>SUM(BF58:BF60)</f>
        <v>1005</v>
      </c>
      <c r="BG61" s="48">
        <f>SUM(BG58:BG60)</f>
        <v>1005</v>
      </c>
      <c r="BH61" s="118" t="str">
        <f t="shared" si="269"/>
        <v/>
      </c>
      <c r="BI61" s="52">
        <f t="shared" si="270"/>
        <v>1005</v>
      </c>
      <c r="BJ61" s="52">
        <f t="shared" si="271"/>
        <v>1005</v>
      </c>
      <c r="BK61" s="16" t="str">
        <f t="shared" si="272"/>
        <v/>
      </c>
      <c r="BL61" s="498"/>
      <c r="BS61" s="487"/>
      <c r="BT61" s="47" t="s">
        <v>118</v>
      </c>
      <c r="BU61" s="48">
        <f>SUM(BU58:BU60)</f>
        <v>1005</v>
      </c>
      <c r="BV61" s="48">
        <f>SUM(BV58:BV60)</f>
        <v>1005</v>
      </c>
      <c r="BW61" s="118" t="str">
        <f t="shared" si="275"/>
        <v/>
      </c>
      <c r="BX61" s="52">
        <f t="shared" si="276"/>
        <v>1005</v>
      </c>
      <c r="BY61" s="52">
        <f t="shared" si="277"/>
        <v>1005</v>
      </c>
      <c r="BZ61" s="16" t="str">
        <f t="shared" si="278"/>
        <v/>
      </c>
      <c r="CA61" s="498"/>
    </row>
    <row r="62" spans="2:79" ht="16.5" customHeight="1" x14ac:dyDescent="0.2">
      <c r="C62" s="111" t="s">
        <v>17</v>
      </c>
      <c r="D62" s="28">
        <f>IF('8.Change Investments'!F7=0,NA(),'8.Change Investments'!F7)</f>
        <v>2500000</v>
      </c>
      <c r="E62" s="28">
        <f>IF('8.Change Investments'!L7=0,NA(),'8.Change Investments'!L7)</f>
        <v>1500000</v>
      </c>
      <c r="F62" s="28">
        <f t="shared" si="279"/>
        <v>4000000</v>
      </c>
      <c r="L62" s="497" t="s">
        <v>338</v>
      </c>
      <c r="M62" s="47" t="s">
        <v>32</v>
      </c>
      <c r="N62" s="29">
        <f>Q5</f>
        <v>47.096774193548384</v>
      </c>
      <c r="O62" s="29">
        <f>T5</f>
        <v>47.096774193548384</v>
      </c>
      <c r="P62" s="16" t="str">
        <f>IF(N62=O62,"",IF(O62&gt;N62,CONCATENATE($A$3,TEXT((O62-N62),"##")),TEXT((O62-N62),"##")))</f>
        <v/>
      </c>
      <c r="Q62" s="52">
        <f>N62</f>
        <v>47.096774193548384</v>
      </c>
      <c r="R62" s="52">
        <f>O62</f>
        <v>47.096774193548384</v>
      </c>
      <c r="S62" s="16" t="str">
        <f>IF(Q62=R62,"",IF(R62&gt;Q62,CONCATENATE($A$1,TEXT(((R62-Q62)/Q62),"##%")),CONCATENATE($A$2,TEXT(((R62-Q62)/Q62),"##%"))))</f>
        <v/>
      </c>
      <c r="T62" s="498" t="str">
        <f>IF(S65="","",CONCATENATE("Overall ",S65))</f>
        <v/>
      </c>
      <c r="AO62" s="486"/>
      <c r="AP62" s="47" t="s">
        <v>54</v>
      </c>
      <c r="AQ62" s="52">
        <f t="shared" si="280"/>
        <v>328</v>
      </c>
      <c r="AR62" s="29">
        <f t="shared" si="281"/>
        <v>328</v>
      </c>
      <c r="AS62" s="118" t="str">
        <f t="shared" si="282"/>
        <v/>
      </c>
      <c r="AT62" s="29">
        <f t="shared" si="283"/>
        <v>328</v>
      </c>
      <c r="AU62" s="29">
        <f t="shared" si="284"/>
        <v>328</v>
      </c>
      <c r="AV62" s="16" t="str">
        <f t="shared" si="285"/>
        <v/>
      </c>
      <c r="AW62" s="498"/>
      <c r="BD62"/>
      <c r="BE62" s="6"/>
      <c r="BF62" s="6"/>
      <c r="BG62" s="6"/>
      <c r="BH62" s="32"/>
      <c r="BI62" s="489" t="s">
        <v>84</v>
      </c>
      <c r="BJ62" s="489"/>
      <c r="BK62" s="489"/>
      <c r="BL62" s="23"/>
      <c r="BS62"/>
      <c r="BT62" s="6"/>
      <c r="BU62" s="6"/>
      <c r="BV62" s="6"/>
      <c r="BW62" s="32"/>
      <c r="BX62" s="489" t="s">
        <v>84</v>
      </c>
      <c r="BY62" s="489"/>
      <c r="BZ62" s="489"/>
      <c r="CA62" s="23"/>
    </row>
    <row r="63" spans="2:79" ht="16.5" customHeight="1" x14ac:dyDescent="0.2">
      <c r="L63" s="497"/>
      <c r="M63" s="47" t="s">
        <v>33</v>
      </c>
      <c r="N63" s="29">
        <f t="shared" ref="N63:N64" si="286">Q6</f>
        <v>264.04255319148939</v>
      </c>
      <c r="O63" s="29">
        <f t="shared" ref="O63:O64" si="287">T6</f>
        <v>264.04255319148939</v>
      </c>
      <c r="P63" s="16" t="str">
        <f t="shared" ref="P63:P65" si="288">IF(N63=O63,"",IF(O63&gt;N63,CONCATENATE($A$3,TEXT((O63-N63),"##")),TEXT((O63-N63),"##")))</f>
        <v/>
      </c>
      <c r="Q63" s="52">
        <f t="shared" ref="Q63:Q65" si="289">N63</f>
        <v>264.04255319148939</v>
      </c>
      <c r="R63" s="52">
        <f t="shared" ref="R63:R65" si="290">O63</f>
        <v>264.04255319148939</v>
      </c>
      <c r="S63" s="16" t="str">
        <f t="shared" ref="S63:S65" si="291">IF(Q63=R63,"",IF(R63&gt;Q63,CONCATENATE($A$1,TEXT(((R63-Q63)/Q63),"##%")),CONCATENATE($A$2,TEXT(((R63-Q63)/Q63),"##%"))))</f>
        <v/>
      </c>
      <c r="T63" s="498"/>
      <c r="AO63" s="487"/>
      <c r="AP63" s="47" t="s">
        <v>118</v>
      </c>
      <c r="AQ63" s="16">
        <f>SUM(AQ60:AQ62)</f>
        <v>911</v>
      </c>
      <c r="AR63" s="16">
        <f>SUM(AR60:AR62)</f>
        <v>911</v>
      </c>
      <c r="AS63" s="118" t="str">
        <f t="shared" si="282"/>
        <v/>
      </c>
      <c r="AT63" s="29">
        <f t="shared" si="283"/>
        <v>911</v>
      </c>
      <c r="AU63" s="29">
        <f t="shared" si="284"/>
        <v>911</v>
      </c>
      <c r="AV63" s="16" t="str">
        <f t="shared" si="285"/>
        <v/>
      </c>
      <c r="AW63" s="498"/>
      <c r="BD63"/>
      <c r="BE63" s="6"/>
      <c r="BF63" s="46" t="s">
        <v>49</v>
      </c>
      <c r="BG63" s="46" t="s">
        <v>50</v>
      </c>
      <c r="BH63" s="117" t="s">
        <v>55</v>
      </c>
      <c r="BI63" s="35" t="s">
        <v>9</v>
      </c>
      <c r="BJ63" s="35" t="s">
        <v>10</v>
      </c>
      <c r="BK63" s="43" t="s">
        <v>55</v>
      </c>
      <c r="BS63"/>
      <c r="BT63" s="6"/>
      <c r="BU63" s="46" t="s">
        <v>49</v>
      </c>
      <c r="BV63" s="46" t="s">
        <v>50</v>
      </c>
      <c r="BW63" s="117" t="s">
        <v>55</v>
      </c>
      <c r="BX63" s="35" t="s">
        <v>9</v>
      </c>
      <c r="BY63" s="35" t="s">
        <v>10</v>
      </c>
      <c r="BZ63" s="43" t="s">
        <v>55</v>
      </c>
    </row>
    <row r="64" spans="2:79" ht="16.5" customHeight="1" x14ac:dyDescent="0.2">
      <c r="L64" s="497"/>
      <c r="M64" s="47" t="s">
        <v>54</v>
      </c>
      <c r="N64" s="29">
        <f t="shared" si="286"/>
        <v>121.66666666666667</v>
      </c>
      <c r="O64" s="29">
        <f t="shared" si="287"/>
        <v>121.66666666666667</v>
      </c>
      <c r="P64" s="16" t="str">
        <f t="shared" si="288"/>
        <v/>
      </c>
      <c r="Q64" s="52">
        <f t="shared" si="289"/>
        <v>121.66666666666667</v>
      </c>
      <c r="R64" s="52">
        <f t="shared" si="290"/>
        <v>121.66666666666667</v>
      </c>
      <c r="S64" s="16" t="str">
        <f t="shared" si="291"/>
        <v/>
      </c>
      <c r="T64" s="498"/>
      <c r="BD64" s="485" t="s">
        <v>201</v>
      </c>
      <c r="BE64" s="47" t="s">
        <v>32</v>
      </c>
      <c r="BF64" s="49">
        <f>AB56</f>
        <v>7960</v>
      </c>
      <c r="BG64" s="49">
        <f>TRUNC(BQ19,0)</f>
        <v>7960</v>
      </c>
      <c r="BH64" s="118" t="str">
        <f>IF(BF64=BG64,"",IF(BG64&gt;BF64,CONCATENATE($A$3,TEXT((BG64-BF64),"$#,###")),TEXT((BG64-BF64),"$#,###")))</f>
        <v/>
      </c>
      <c r="BI64" s="28">
        <f>BF64</f>
        <v>7960</v>
      </c>
      <c r="BJ64" s="28">
        <f>BG64</f>
        <v>7960</v>
      </c>
      <c r="BK64" s="16" t="str">
        <f>IF(BI64=BJ64,"",IF(BJ64&gt;BI64,CONCATENATE($A$1,TEXT(((BJ64-BI64)/BI64),"##%")),CONCATENATE($A$2,TEXT(((BJ64-BI64)/BI64),"##%"))))</f>
        <v/>
      </c>
      <c r="BL64" s="498" t="str">
        <f>IF(BK67="","",CONCATENATE("Overall ",BK67))</f>
        <v/>
      </c>
      <c r="BS64" s="485" t="s">
        <v>211</v>
      </c>
      <c r="BT64" s="47" t="s">
        <v>32</v>
      </c>
      <c r="BU64" s="49">
        <f>TRUNC(BV19)</f>
        <v>7960</v>
      </c>
      <c r="BV64" s="49">
        <f>TRUNC(CF19,0)</f>
        <v>7960</v>
      </c>
      <c r="BW64" s="118" t="str">
        <f>IF(BU64=BV64,"",IF(BV64&gt;BU64,CONCATENATE($A$3,TEXT((BV64-BU64),"$#,###")),TEXT((BV64-BU64),"$#,###")))</f>
        <v/>
      </c>
      <c r="BX64" s="28">
        <f>BU64</f>
        <v>7960</v>
      </c>
      <c r="BY64" s="28">
        <f>BV64</f>
        <v>7960</v>
      </c>
      <c r="BZ64" s="16" t="str">
        <f>IF(BX64=BY64,"",IF(BY64&gt;BX64,CONCATENATE($A$1,TEXT(((BY64-BX64)/BX64),"##%")),CONCATENATE($A$2,TEXT(((BY64-BX64)/BX64),"##%"))))</f>
        <v/>
      </c>
      <c r="CA64" s="498" t="str">
        <f>IF(BZ67="","",CONCATENATE("Overall ",BZ67))</f>
        <v/>
      </c>
    </row>
    <row r="65" spans="12:79" ht="16.5" customHeight="1" x14ac:dyDescent="0.2">
      <c r="L65" s="497"/>
      <c r="M65" s="47" t="s">
        <v>118</v>
      </c>
      <c r="N65" s="29">
        <f>AVERAGE(N62:N64)</f>
        <v>144.26866468390148</v>
      </c>
      <c r="O65" s="29">
        <f>AVERAGE(O62:O64)</f>
        <v>144.26866468390148</v>
      </c>
      <c r="P65" s="16" t="str">
        <f t="shared" si="288"/>
        <v/>
      </c>
      <c r="Q65" s="52">
        <f t="shared" si="289"/>
        <v>144.26866468390148</v>
      </c>
      <c r="R65" s="52">
        <f t="shared" si="290"/>
        <v>144.26866468390148</v>
      </c>
      <c r="S65" s="16" t="str">
        <f t="shared" si="291"/>
        <v/>
      </c>
      <c r="T65" s="498"/>
      <c r="BD65" s="486"/>
      <c r="BE65" s="47" t="s">
        <v>33</v>
      </c>
      <c r="BF65" s="49">
        <f t="shared" ref="BF65:BF67" si="292">AB57</f>
        <v>18750</v>
      </c>
      <c r="BG65" s="49">
        <f t="shared" ref="BG65:BG66" si="293">TRUNC(BQ20,0)</f>
        <v>18750</v>
      </c>
      <c r="BH65" s="118" t="str">
        <f t="shared" ref="BH65:BH67" si="294">IF(BF65=BG65,"",IF(BG65&gt;BF65,CONCATENATE($A$3,TEXT((BG65-BF65),"$#,###")),TEXT((BG65-BF65),"$#,###")))</f>
        <v/>
      </c>
      <c r="BI65" s="28">
        <f t="shared" ref="BI65:BI67" si="295">BF65</f>
        <v>18750</v>
      </c>
      <c r="BJ65" s="28">
        <f t="shared" ref="BJ65:BJ67" si="296">BG65</f>
        <v>18750</v>
      </c>
      <c r="BK65" s="16" t="str">
        <f t="shared" ref="BK65:BK67" si="297">IF(BI65=BJ65,"",IF(BJ65&gt;BI65,CONCATENATE($A$1,TEXT(((BJ65-BI65)/BI65),"##%")),CONCATENATE($A$2,TEXT(((BJ65-BI65)/BI65),"##%"))))</f>
        <v/>
      </c>
      <c r="BL65" s="498"/>
      <c r="BS65" s="486"/>
      <c r="BT65" s="47" t="s">
        <v>33</v>
      </c>
      <c r="BU65" s="49">
        <f t="shared" ref="BU65:BU66" si="298">TRUNC(BV20)</f>
        <v>18750</v>
      </c>
      <c r="BV65" s="49">
        <f t="shared" ref="BV65:BV66" si="299">TRUNC(CF20,0)</f>
        <v>18750</v>
      </c>
      <c r="BW65" s="118" t="str">
        <f t="shared" ref="BW65:BW67" si="300">IF(BU65=BV65,"",IF(BV65&gt;BU65,CONCATENATE($A$3,TEXT((BV65-BU65),"$#,###")),TEXT((BV65-BU65),"$#,###")))</f>
        <v/>
      </c>
      <c r="BX65" s="28">
        <f t="shared" ref="BX65:BX67" si="301">BU65</f>
        <v>18750</v>
      </c>
      <c r="BY65" s="28">
        <f t="shared" ref="BY65:BY67" si="302">BV65</f>
        <v>18750</v>
      </c>
      <c r="BZ65" s="16" t="str">
        <f t="shared" ref="BZ65:BZ67" si="303">IF(BX65=BY65,"",IF(BY65&gt;BX65,CONCATENATE($A$1,TEXT(((BY65-BX65)/BX65),"##%")),CONCATENATE($A$2,TEXT(((BY65-BX65)/BX65),"##%"))))</f>
        <v/>
      </c>
      <c r="CA65" s="498"/>
    </row>
    <row r="66" spans="12:79" ht="16.5" customHeight="1" x14ac:dyDescent="0.2">
      <c r="BD66" s="486"/>
      <c r="BE66" s="47" t="s">
        <v>54</v>
      </c>
      <c r="BF66" s="49">
        <f t="shared" si="292"/>
        <v>4308</v>
      </c>
      <c r="BG66" s="49">
        <f t="shared" si="293"/>
        <v>4308</v>
      </c>
      <c r="BH66" s="118" t="str">
        <f t="shared" si="294"/>
        <v/>
      </c>
      <c r="BI66" s="28">
        <f t="shared" si="295"/>
        <v>4308</v>
      </c>
      <c r="BJ66" s="28">
        <f t="shared" si="296"/>
        <v>4308</v>
      </c>
      <c r="BK66" s="16" t="str">
        <f t="shared" si="297"/>
        <v/>
      </c>
      <c r="BL66" s="498"/>
      <c r="BS66" s="486"/>
      <c r="BT66" s="47" t="s">
        <v>54</v>
      </c>
      <c r="BU66" s="49">
        <f t="shared" si="298"/>
        <v>4308</v>
      </c>
      <c r="BV66" s="49">
        <f t="shared" si="299"/>
        <v>4308</v>
      </c>
      <c r="BW66" s="118" t="str">
        <f t="shared" si="300"/>
        <v/>
      </c>
      <c r="BX66" s="28">
        <f t="shared" si="301"/>
        <v>4308</v>
      </c>
      <c r="BY66" s="28">
        <f t="shared" si="302"/>
        <v>4308</v>
      </c>
      <c r="BZ66" s="16" t="str">
        <f t="shared" si="303"/>
        <v/>
      </c>
      <c r="CA66" s="498"/>
    </row>
    <row r="67" spans="12:79" ht="16.5" customHeight="1" x14ac:dyDescent="0.2">
      <c r="N67" s="319" t="s">
        <v>7</v>
      </c>
      <c r="O67" s="319" t="s">
        <v>8</v>
      </c>
      <c r="P67" s="43" t="s">
        <v>55</v>
      </c>
      <c r="Q67" s="319" t="s">
        <v>7</v>
      </c>
      <c r="R67" s="319" t="s">
        <v>8</v>
      </c>
      <c r="S67" s="43" t="s">
        <v>55</v>
      </c>
      <c r="BD67" s="487"/>
      <c r="BE67" s="47" t="s">
        <v>118</v>
      </c>
      <c r="BF67" s="49">
        <f t="shared" si="292"/>
        <v>10339</v>
      </c>
      <c r="BG67" s="49">
        <f>TRUNC(AVERAGE(BG64:BG66),0)</f>
        <v>10339</v>
      </c>
      <c r="BH67" s="118" t="str">
        <f t="shared" si="294"/>
        <v/>
      </c>
      <c r="BI67" s="28">
        <f t="shared" si="295"/>
        <v>10339</v>
      </c>
      <c r="BJ67" s="28">
        <f t="shared" si="296"/>
        <v>10339</v>
      </c>
      <c r="BK67" s="16" t="str">
        <f t="shared" si="297"/>
        <v/>
      </c>
      <c r="BL67" s="498"/>
      <c r="BS67" s="487"/>
      <c r="BT67" s="47" t="s">
        <v>118</v>
      </c>
      <c r="BU67" s="49">
        <f>TRUNC(AVERAGE(BU64:BU66),0)</f>
        <v>10339</v>
      </c>
      <c r="BV67" s="49">
        <f>TRUNC(AVERAGE(BV64:BV66),0)</f>
        <v>10339</v>
      </c>
      <c r="BW67" s="118" t="str">
        <f t="shared" si="300"/>
        <v/>
      </c>
      <c r="BX67" s="28">
        <f t="shared" si="301"/>
        <v>10339</v>
      </c>
      <c r="BY67" s="28">
        <f t="shared" si="302"/>
        <v>10339</v>
      </c>
      <c r="BZ67" s="16" t="str">
        <f t="shared" si="303"/>
        <v/>
      </c>
      <c r="CA67" s="498"/>
    </row>
    <row r="68" spans="12:79" ht="16.5" customHeight="1" x14ac:dyDescent="0.2">
      <c r="L68" s="497" t="s">
        <v>184</v>
      </c>
      <c r="M68" s="47" t="s">
        <v>32</v>
      </c>
      <c r="N68" s="29">
        <f>Q12</f>
        <v>76.395348837209298</v>
      </c>
      <c r="O68" s="29">
        <f>T12</f>
        <v>76.395348837209298</v>
      </c>
      <c r="P68" s="16" t="str">
        <f>IF(N68=O68,"",IF(O68&gt;N68,CONCATENATE($A$3,TEXT((O68-N68),"##")),TEXT((O68-N68),"##")))</f>
        <v/>
      </c>
      <c r="Q68" s="52">
        <f>N68</f>
        <v>76.395348837209298</v>
      </c>
      <c r="R68" s="52">
        <f>O68</f>
        <v>76.395348837209298</v>
      </c>
      <c r="S68" s="16" t="str">
        <f>IF(Q68=R68,"",IF(R68&gt;Q68,CONCATENATE($A$1,TEXT(((R68-Q68)/Q68),"##%")),CONCATENATE($A$2,TEXT(((R68-Q68)/Q68),"##%"))))</f>
        <v/>
      </c>
      <c r="T68" s="498" t="str">
        <f>IF(S71="","",CONCATENATE("Overall ",S71))</f>
        <v/>
      </c>
      <c r="BD68"/>
      <c r="BE68"/>
      <c r="BS68"/>
      <c r="BT68"/>
    </row>
    <row r="69" spans="12:79" ht="16.5" customHeight="1" x14ac:dyDescent="0.2">
      <c r="L69" s="497"/>
      <c r="M69" s="47" t="s">
        <v>33</v>
      </c>
      <c r="N69" s="29">
        <f t="shared" ref="N69:N70" si="304">Q13</f>
        <v>307.36842105263156</v>
      </c>
      <c r="O69" s="29">
        <f t="shared" ref="O69:O70" si="305">T13</f>
        <v>307.36842105263156</v>
      </c>
      <c r="P69" s="16" t="str">
        <f t="shared" ref="P69:P71" si="306">IF(N69=O69,"",IF(O69&gt;N69,CONCATENATE($A$3,TEXT((O69-N69),"##")),TEXT((O69-N69),"##")))</f>
        <v/>
      </c>
      <c r="Q69" s="52">
        <f t="shared" ref="Q69:Q71" si="307">N69</f>
        <v>307.36842105263156</v>
      </c>
      <c r="R69" s="52">
        <f t="shared" ref="R69:R71" si="308">O69</f>
        <v>307.36842105263156</v>
      </c>
      <c r="S69" s="16" t="str">
        <f t="shared" ref="S69:S71" si="309">IF(Q69=R69,"",IF(R69&gt;Q69,CONCATENATE($A$1,TEXT(((R69-Q69)/Q69),"##%")),CONCATENATE($A$2,TEXT(((R69-Q69)/Q69),"##%"))))</f>
        <v/>
      </c>
      <c r="T69" s="498"/>
      <c r="BD69"/>
      <c r="BE69"/>
      <c r="BF69" s="36" t="s">
        <v>5</v>
      </c>
      <c r="BG69" s="36" t="s">
        <v>26</v>
      </c>
      <c r="BS69"/>
      <c r="BT69"/>
      <c r="BU69" s="36" t="s">
        <v>5</v>
      </c>
      <c r="BV69" s="36" t="s">
        <v>26</v>
      </c>
    </row>
    <row r="70" spans="12:79" ht="16.5" customHeight="1" x14ac:dyDescent="0.2">
      <c r="L70" s="497"/>
      <c r="M70" s="47" t="s">
        <v>54</v>
      </c>
      <c r="N70" s="29">
        <f t="shared" si="304"/>
        <v>99.545454545454547</v>
      </c>
      <c r="O70" s="29">
        <f t="shared" si="305"/>
        <v>99.545454545454547</v>
      </c>
      <c r="P70" s="16" t="str">
        <f t="shared" si="306"/>
        <v/>
      </c>
      <c r="Q70" s="52">
        <f t="shared" si="307"/>
        <v>99.545454545454547</v>
      </c>
      <c r="R70" s="52">
        <f t="shared" si="308"/>
        <v>99.545454545454547</v>
      </c>
      <c r="S70" s="16" t="str">
        <f t="shared" si="309"/>
        <v/>
      </c>
      <c r="T70" s="498"/>
      <c r="BD70" s="485" t="s">
        <v>202</v>
      </c>
      <c r="BE70" s="34" t="s">
        <v>121</v>
      </c>
      <c r="BF70" s="40">
        <f>D54</f>
        <v>265</v>
      </c>
      <c r="BG70" s="40">
        <f>BF70</f>
        <v>265</v>
      </c>
      <c r="BS70" s="485" t="s">
        <v>212</v>
      </c>
      <c r="BT70" s="34" t="s">
        <v>121</v>
      </c>
      <c r="BU70" s="40">
        <f>'2.Data Input'!F7</f>
        <v>265</v>
      </c>
      <c r="BV70" s="40">
        <f>BU70</f>
        <v>265</v>
      </c>
    </row>
    <row r="71" spans="12:79" ht="16.5" customHeight="1" x14ac:dyDescent="0.2">
      <c r="L71" s="497"/>
      <c r="M71" s="47" t="s">
        <v>118</v>
      </c>
      <c r="N71" s="29">
        <f>AVERAGE(N68:N70)</f>
        <v>161.10307481176514</v>
      </c>
      <c r="O71" s="29">
        <f>AVERAGE(O68:O70)</f>
        <v>161.10307481176514</v>
      </c>
      <c r="P71" s="16" t="str">
        <f t="shared" si="306"/>
        <v/>
      </c>
      <c r="Q71" s="52">
        <f t="shared" si="307"/>
        <v>161.10307481176514</v>
      </c>
      <c r="R71" s="52">
        <f t="shared" si="308"/>
        <v>161.10307481176514</v>
      </c>
      <c r="S71" s="16" t="str">
        <f t="shared" si="309"/>
        <v/>
      </c>
      <c r="T71" s="498"/>
      <c r="BD71" s="487"/>
      <c r="BE71" s="33" t="s">
        <v>122</v>
      </c>
      <c r="BF71" s="41">
        <v>0</v>
      </c>
      <c r="BG71" s="39" t="str">
        <f>IFERROR(BG55+BG39,"")</f>
        <v/>
      </c>
      <c r="BS71" s="487"/>
      <c r="BT71" s="33" t="s">
        <v>122</v>
      </c>
      <c r="BU71" s="41">
        <v>0</v>
      </c>
      <c r="BV71" s="39" t="str">
        <f>IFERROR(BV55+BV39,"")</f>
        <v/>
      </c>
    </row>
    <row r="72" spans="12:79" ht="16.5" customHeight="1" x14ac:dyDescent="0.2">
      <c r="BD72"/>
      <c r="BE72"/>
      <c r="BS72"/>
      <c r="BT72"/>
    </row>
    <row r="73" spans="12:79" ht="16.5" customHeight="1" x14ac:dyDescent="0.2">
      <c r="N73" s="319" t="s">
        <v>7</v>
      </c>
      <c r="O73" s="319" t="s">
        <v>8</v>
      </c>
      <c r="P73" s="43" t="s">
        <v>55</v>
      </c>
      <c r="Q73" s="319" t="s">
        <v>7</v>
      </c>
      <c r="R73" s="319" t="s">
        <v>8</v>
      </c>
      <c r="S73" s="43" t="s">
        <v>55</v>
      </c>
      <c r="BI73" s="483" t="s">
        <v>84</v>
      </c>
      <c r="BJ73" s="484"/>
      <c r="BX73" s="483" t="s">
        <v>84</v>
      </c>
      <c r="BY73" s="484"/>
    </row>
    <row r="74" spans="12:79" ht="16.5" customHeight="1" x14ac:dyDescent="0.2">
      <c r="L74" s="497" t="s">
        <v>185</v>
      </c>
      <c r="M74" s="47" t="s">
        <v>32</v>
      </c>
      <c r="N74" s="29">
        <f>Q19</f>
        <v>53.459595959595958</v>
      </c>
      <c r="O74" s="29">
        <f>T19</f>
        <v>53.459595959595958</v>
      </c>
      <c r="P74" s="16" t="str">
        <f>IF(N74=O74,"",IF(O74&gt;N74,CONCATENATE($A$3,TEXT((O74-N74),"##")),TEXT((O74-N74),"##")))</f>
        <v/>
      </c>
      <c r="Q74" s="52">
        <f>N74</f>
        <v>53.459595959595958</v>
      </c>
      <c r="R74" s="52">
        <f>O74</f>
        <v>53.459595959595958</v>
      </c>
      <c r="S74" s="16" t="str">
        <f>IF(Q74=R74,"",IF(R74&gt;Q74,CONCATENATE($A$1,TEXT(((R74-Q74)/Q74),"##%")),CONCATENATE($A$2,TEXT(((R74-Q74)/Q74),"##%"))))</f>
        <v/>
      </c>
      <c r="T74" s="498" t="str">
        <f>IF(S77="","",CONCATENATE("Overall ",S77))</f>
        <v/>
      </c>
      <c r="BF74" s="43" t="s">
        <v>5</v>
      </c>
      <c r="BG74" s="43" t="s">
        <v>6</v>
      </c>
      <c r="BH74" s="43" t="s">
        <v>55</v>
      </c>
      <c r="BI74" s="43" t="s">
        <v>5</v>
      </c>
      <c r="BJ74" s="43" t="s">
        <v>6</v>
      </c>
      <c r="BU74" s="43" t="s">
        <v>5</v>
      </c>
      <c r="BV74" s="43" t="s">
        <v>6</v>
      </c>
      <c r="BW74" s="43" t="s">
        <v>55</v>
      </c>
      <c r="BX74" s="43" t="s">
        <v>5</v>
      </c>
      <c r="BY74" s="43" t="s">
        <v>6</v>
      </c>
    </row>
    <row r="75" spans="12:79" ht="16.5" customHeight="1" x14ac:dyDescent="0.2">
      <c r="L75" s="497"/>
      <c r="M75" s="47" t="s">
        <v>33</v>
      </c>
      <c r="N75" s="29">
        <f t="shared" ref="N75:N76" si="310">Q20</f>
        <v>287.78846153846155</v>
      </c>
      <c r="O75" s="29">
        <f t="shared" ref="O75:O76" si="311">T20</f>
        <v>287.78846153846155</v>
      </c>
      <c r="P75" s="16" t="str">
        <f t="shared" ref="P75:P77" si="312">IF(N75=O75,"",IF(O75&gt;N75,CONCATENATE($A$3,TEXT((O75-N75),"##")),TEXT((O75-N75),"##")))</f>
        <v/>
      </c>
      <c r="Q75" s="52">
        <f t="shared" ref="Q75:Q77" si="313">N75</f>
        <v>287.78846153846155</v>
      </c>
      <c r="R75" s="52">
        <f t="shared" ref="R75:R77" si="314">O75</f>
        <v>287.78846153846155</v>
      </c>
      <c r="S75" s="16" t="str">
        <f t="shared" ref="S75:S77" si="315">IF(Q75=R75,"",IF(R75&gt;Q75,CONCATENATE($A$1,TEXT(((R75-Q75)/Q75),"##%")),CONCATENATE($A$2,TEXT(((R75-Q75)/Q75),"##%"))))</f>
        <v/>
      </c>
      <c r="T75" s="498"/>
      <c r="BD75" s="485" t="s">
        <v>339</v>
      </c>
      <c r="BE75" s="47" t="s">
        <v>32</v>
      </c>
      <c r="BF75" s="53">
        <f>AQ26</f>
        <v>0.14716981132075471</v>
      </c>
      <c r="BG75" s="53">
        <f>BK5</f>
        <v>0.14716981132075471</v>
      </c>
      <c r="BH75" s="16" t="str">
        <f>IF(BF75=BG75,"",IF(BG75&gt;BF75,CONCATENATE($A$1,TEXT(((BG75-BF75)/BF75),"##%")),CONCATENATE($A$2,TEXT(((BG75-BF75)/BF75),"##%"))))</f>
        <v/>
      </c>
      <c r="BI75" s="53">
        <f>BF75</f>
        <v>0.14716981132075471</v>
      </c>
      <c r="BJ75" s="53">
        <f>BG75</f>
        <v>0.14716981132075471</v>
      </c>
      <c r="BK75" s="521" t="str">
        <f>IF(AND('2.Data Input'!C23="",'2.Data Input'!D23="",'2.Data Input'!E23=""),"Returns not entered.  To see impact of returns, enter current or estimated returns in Program Input tab.","")</f>
        <v/>
      </c>
      <c r="BS75" s="485" t="s">
        <v>340</v>
      </c>
      <c r="BT75" s="47" t="s">
        <v>32</v>
      </c>
      <c r="BU75" s="53">
        <f>AQ26</f>
        <v>0.14716981132075471</v>
      </c>
      <c r="BV75" s="53">
        <f>BZ5</f>
        <v>0.14716981132075471</v>
      </c>
      <c r="BW75" s="16" t="str">
        <f>IF(BU75=BV75,"",IF(BV75&gt;BU75,CONCATENATE($A$1,TEXT(((BV75-BU75)/BU75),"##%")),CONCATENATE($A$2,TEXT(((BV75-BU75)/BU75),"##%"))))</f>
        <v/>
      </c>
      <c r="BX75" s="53">
        <f>BU75</f>
        <v>0.14716981132075471</v>
      </c>
      <c r="BY75" s="53">
        <f>BV75</f>
        <v>0.14716981132075471</v>
      </c>
      <c r="BZ75" s="488" t="str">
        <f>IF(AND('2.Data Input'!C23="",'2.Data Input'!D23="",'2.Data Input'!E23=""),"Returns not entered.  To see impact of returns, enter current or estimated returns in Program Input tab.","")</f>
        <v/>
      </c>
    </row>
    <row r="76" spans="12:79" ht="16.5" customHeight="1" x14ac:dyDescent="0.2">
      <c r="L76" s="497"/>
      <c r="M76" s="47" t="s">
        <v>54</v>
      </c>
      <c r="N76" s="29">
        <f t="shared" si="310"/>
        <v>107.35294117647059</v>
      </c>
      <c r="O76" s="29">
        <f t="shared" si="311"/>
        <v>107.35294117647059</v>
      </c>
      <c r="P76" s="16" t="str">
        <f t="shared" si="312"/>
        <v/>
      </c>
      <c r="Q76" s="52">
        <f t="shared" si="313"/>
        <v>107.35294117647059</v>
      </c>
      <c r="R76" s="52">
        <f t="shared" si="314"/>
        <v>107.35294117647059</v>
      </c>
      <c r="S76" s="16" t="str">
        <f t="shared" si="315"/>
        <v/>
      </c>
      <c r="T76" s="498"/>
      <c r="BD76" s="486"/>
      <c r="BE76" s="47" t="s">
        <v>33</v>
      </c>
      <c r="BF76" s="53">
        <f t="shared" ref="BF76:BF77" si="316">AQ27</f>
        <v>7.1428571428571425E-2</v>
      </c>
      <c r="BG76" s="53">
        <f t="shared" ref="BG76:BG77" si="317">BK6</f>
        <v>7.1428571428571425E-2</v>
      </c>
      <c r="BH76" s="16" t="str">
        <f t="shared" ref="BH76:BH78" si="318">IF(BF76=BG76,"",IF(BG76&gt;BF76,CONCATENATE($A$1,TEXT(((BG76-BF76)/BF76),"##%")),CONCATENATE($A$2,TEXT(((BG76-BF76)/BF76),"##%"))))</f>
        <v/>
      </c>
      <c r="BI76" s="53">
        <f t="shared" ref="BI76:BI78" si="319">BF76</f>
        <v>7.1428571428571425E-2</v>
      </c>
      <c r="BJ76" s="53">
        <f t="shared" ref="BJ76:BJ78" si="320">BG76</f>
        <v>7.1428571428571425E-2</v>
      </c>
      <c r="BK76" s="521"/>
      <c r="BS76" s="486"/>
      <c r="BT76" s="47" t="s">
        <v>33</v>
      </c>
      <c r="BU76" s="53">
        <f t="shared" ref="BU76:BU78" si="321">AQ27</f>
        <v>7.1428571428571425E-2</v>
      </c>
      <c r="BV76" s="53">
        <f t="shared" ref="BV76:BV77" si="322">BZ6</f>
        <v>7.1428571428571425E-2</v>
      </c>
      <c r="BW76" s="16" t="str">
        <f t="shared" ref="BW76:BW78" si="323">IF(BU76=BV76,"",IF(BV76&gt;BU76,CONCATENATE($A$1,TEXT(((BV76-BU76)/BU76),"##%")),CONCATENATE($A$2,TEXT(((BV76-BU76)/BU76),"##%"))))</f>
        <v/>
      </c>
      <c r="BX76" s="53">
        <f t="shared" ref="BX76:BX78" si="324">BU76</f>
        <v>7.1428571428571425E-2</v>
      </c>
      <c r="BY76" s="53">
        <f t="shared" ref="BY76:BY78" si="325">BV76</f>
        <v>7.1428571428571425E-2</v>
      </c>
      <c r="BZ76" s="488"/>
    </row>
    <row r="77" spans="12:79" ht="16.5" customHeight="1" x14ac:dyDescent="0.2">
      <c r="L77" s="497"/>
      <c r="M77" s="47" t="s">
        <v>118</v>
      </c>
      <c r="N77" s="29">
        <f>AVERAGE(N74:N76)</f>
        <v>149.5336662248427</v>
      </c>
      <c r="O77" s="29">
        <f>AVERAGE(O74:O76)</f>
        <v>149.5336662248427</v>
      </c>
      <c r="P77" s="16" t="str">
        <f t="shared" si="312"/>
        <v/>
      </c>
      <c r="Q77" s="52">
        <f t="shared" si="313"/>
        <v>149.5336662248427</v>
      </c>
      <c r="R77" s="52">
        <f t="shared" si="314"/>
        <v>149.5336662248427</v>
      </c>
      <c r="S77" s="16" t="str">
        <f t="shared" si="315"/>
        <v/>
      </c>
      <c r="T77" s="498"/>
      <c r="BD77" s="486"/>
      <c r="BE77" s="47" t="s">
        <v>54</v>
      </c>
      <c r="BF77" s="53">
        <f t="shared" si="316"/>
        <v>8.9285714285714288E-2</v>
      </c>
      <c r="BG77" s="53">
        <f t="shared" si="317"/>
        <v>8.9285714285714288E-2</v>
      </c>
      <c r="BH77" s="16" t="str">
        <f t="shared" si="318"/>
        <v/>
      </c>
      <c r="BI77" s="53">
        <f t="shared" si="319"/>
        <v>8.9285714285714288E-2</v>
      </c>
      <c r="BJ77" s="53">
        <f t="shared" si="320"/>
        <v>8.9285714285714288E-2</v>
      </c>
      <c r="BK77" s="521"/>
      <c r="BS77" s="486"/>
      <c r="BT77" s="47" t="s">
        <v>54</v>
      </c>
      <c r="BU77" s="53">
        <f t="shared" si="321"/>
        <v>8.9285714285714288E-2</v>
      </c>
      <c r="BV77" s="53">
        <f t="shared" si="322"/>
        <v>8.9285714285714288E-2</v>
      </c>
      <c r="BW77" s="16" t="str">
        <f t="shared" si="323"/>
        <v/>
      </c>
      <c r="BX77" s="53">
        <f t="shared" si="324"/>
        <v>8.9285714285714288E-2</v>
      </c>
      <c r="BY77" s="53">
        <f t="shared" si="325"/>
        <v>8.9285714285714288E-2</v>
      </c>
      <c r="BZ77" s="488"/>
    </row>
    <row r="78" spans="12:79" ht="16.5" customHeight="1" x14ac:dyDescent="0.2">
      <c r="BD78" s="487"/>
      <c r="BE78" s="47" t="s">
        <v>118</v>
      </c>
      <c r="BF78" s="53">
        <f>AVERAGE(BF75:BF77)</f>
        <v>0.10262803234501348</v>
      </c>
      <c r="BG78" s="53">
        <f>AVERAGE(BG75:BG77)</f>
        <v>0.10262803234501348</v>
      </c>
      <c r="BH78" s="16" t="str">
        <f t="shared" si="318"/>
        <v/>
      </c>
      <c r="BI78" s="53">
        <f t="shared" si="319"/>
        <v>0.10262803234501348</v>
      </c>
      <c r="BJ78" s="53">
        <f t="shared" si="320"/>
        <v>0.10262803234501348</v>
      </c>
      <c r="BK78" s="521"/>
      <c r="BS78" s="487"/>
      <c r="BT78" s="47" t="s">
        <v>118</v>
      </c>
      <c r="BU78" s="53">
        <f t="shared" si="321"/>
        <v>0.10262803234501348</v>
      </c>
      <c r="BV78" s="53">
        <f>AVERAGE(BV75:BV77)</f>
        <v>0.10262803234501348</v>
      </c>
      <c r="BW78" s="16" t="str">
        <f t="shared" si="323"/>
        <v/>
      </c>
      <c r="BX78" s="53">
        <f t="shared" si="324"/>
        <v>0.10262803234501348</v>
      </c>
      <c r="BY78" s="53">
        <f t="shared" si="325"/>
        <v>0.10262803234501348</v>
      </c>
      <c r="BZ78" s="488"/>
    </row>
    <row r="79" spans="12:79" ht="16.5" customHeight="1" x14ac:dyDescent="0.2">
      <c r="BD79"/>
      <c r="BE79"/>
      <c r="BS79"/>
      <c r="BT79"/>
    </row>
    <row r="80" spans="12:79" ht="16.5" customHeight="1" x14ac:dyDescent="0.2">
      <c r="BD80"/>
      <c r="BE80"/>
      <c r="BS80"/>
      <c r="BT80"/>
    </row>
    <row r="81" spans="56:83" ht="16.5" customHeight="1" x14ac:dyDescent="0.2">
      <c r="BI81" s="483" t="s">
        <v>84</v>
      </c>
      <c r="BJ81" s="484"/>
      <c r="BX81" s="483" t="s">
        <v>84</v>
      </c>
      <c r="BY81" s="484"/>
    </row>
    <row r="82" spans="56:83" ht="16.5" customHeight="1" x14ac:dyDescent="0.2">
      <c r="BF82" s="43" t="s">
        <v>5</v>
      </c>
      <c r="BG82" s="43" t="s">
        <v>6</v>
      </c>
      <c r="BH82" s="43" t="s">
        <v>55</v>
      </c>
      <c r="BI82" s="43" t="s">
        <v>5</v>
      </c>
      <c r="BJ82" s="43" t="s">
        <v>6</v>
      </c>
      <c r="BU82" s="43" t="s">
        <v>5</v>
      </c>
      <c r="BV82" s="43" t="s">
        <v>6</v>
      </c>
      <c r="BW82" s="43" t="s">
        <v>55</v>
      </c>
      <c r="BX82" s="43" t="s">
        <v>5</v>
      </c>
      <c r="BY82" s="43" t="s">
        <v>6</v>
      </c>
    </row>
    <row r="83" spans="56:83" ht="16.5" customHeight="1" x14ac:dyDescent="0.2">
      <c r="BD83" s="485" t="s">
        <v>203</v>
      </c>
      <c r="BE83" s="47" t="s">
        <v>32</v>
      </c>
      <c r="BF83" s="53">
        <f>AQ40</f>
        <v>0.10948905109489052</v>
      </c>
      <c r="BG83" s="53">
        <f>BK12</f>
        <v>0.10948905109489052</v>
      </c>
      <c r="BH83" s="16" t="str">
        <f>IFERROR(IF(BF83=BG83,"",IF(BG83&gt;BF83,CONCATENATE($A$1,TEXT(((BG83-BF83)/BF83),"##%")),CONCATENATE($A$2,TEXT(((BG83-BF83)/BF83),"##%")))),"")</f>
        <v/>
      </c>
      <c r="BI83" s="53">
        <f>BF83</f>
        <v>0.10948905109489052</v>
      </c>
      <c r="BJ83" s="53">
        <f>BG83</f>
        <v>0.10948905109489052</v>
      </c>
      <c r="BK83" s="488" t="str">
        <f>IF(AND('2.Data Input'!C24="",'2.Data Input'!D24="",'2.Data Input'!E24=""),"Returns not entered.  To see impact of returns, enter current or estimated returns in Program Input tab.","")</f>
        <v/>
      </c>
      <c r="BS83" s="485" t="s">
        <v>213</v>
      </c>
      <c r="BT83" s="47" t="s">
        <v>32</v>
      </c>
      <c r="BU83" s="53">
        <f>AQ40</f>
        <v>0.10948905109489052</v>
      </c>
      <c r="BV83" s="53">
        <f>BZ12</f>
        <v>0.10948905109489052</v>
      </c>
      <c r="BW83" s="16" t="str">
        <f>IF(BU83=BV83,"",IF(BV83&gt;BU83,CONCATENATE($A$1,TEXT(((BV83-BU83)/BU83),"##%")),CONCATENATE($A$2,TEXT(((BV83-BU83)/BU83),"##%"))))</f>
        <v/>
      </c>
      <c r="BX83" s="53">
        <f>BU83</f>
        <v>0.10948905109489052</v>
      </c>
      <c r="BY83" s="53">
        <f>BV83</f>
        <v>0.10948905109489052</v>
      </c>
      <c r="BZ83" s="488" t="str">
        <f>IF(AND('2.Data Input'!C24="",'2.Data Input'!D24="",'2.Data Input'!E24=""),"Returns not entered.  To see impact of returns, enter current or estimated returns in Program Input tab.","")</f>
        <v/>
      </c>
    </row>
    <row r="84" spans="56:83" ht="16.5" customHeight="1" x14ac:dyDescent="0.2">
      <c r="BD84" s="486"/>
      <c r="BE84" s="47" t="s">
        <v>33</v>
      </c>
      <c r="BF84" s="53">
        <f t="shared" ref="BF84:BF85" si="326">AQ41</f>
        <v>8.8607594936708861E-2</v>
      </c>
      <c r="BG84" s="53">
        <f t="shared" ref="BG84:BG85" si="327">BK13</f>
        <v>8.8607594936708861E-2</v>
      </c>
      <c r="BH84" s="16" t="str">
        <f t="shared" ref="BH84:BH86" si="328">IF(BF84=BG84,"",IF(BG84&gt;BF84,CONCATENATE($A$1,TEXT(((BG84-BF84)/BF84),"##%")),CONCATENATE($A$2,TEXT(((BG84-BF84)/BF84),"##%"))))</f>
        <v/>
      </c>
      <c r="BI84" s="53">
        <f t="shared" ref="BI84:BI86" si="329">BF84</f>
        <v>8.8607594936708861E-2</v>
      </c>
      <c r="BJ84" s="53">
        <f t="shared" ref="BJ84:BJ86" si="330">BG84</f>
        <v>8.8607594936708861E-2</v>
      </c>
      <c r="BK84" s="488"/>
      <c r="BS84" s="486"/>
      <c r="BT84" s="47" t="s">
        <v>33</v>
      </c>
      <c r="BU84" s="53">
        <f t="shared" ref="BU84:BU86" si="331">AQ41</f>
        <v>8.8607594936708861E-2</v>
      </c>
      <c r="BV84" s="53">
        <f t="shared" ref="BV84:BV85" si="332">BZ13</f>
        <v>8.8607594936708861E-2</v>
      </c>
      <c r="BW84" s="16" t="str">
        <f t="shared" ref="BW84:BW86" si="333">IF(BU84=BV84,"",IF(BV84&gt;BU84,CONCATENATE($A$1,TEXT(((BV84-BU84)/BU84),"##%")),CONCATENATE($A$2,TEXT(((BV84-BU84)/BU84),"##%"))))</f>
        <v/>
      </c>
      <c r="BX84" s="53">
        <f t="shared" ref="BX84:BX86" si="334">BU84</f>
        <v>8.8607594936708861E-2</v>
      </c>
      <c r="BY84" s="53">
        <f t="shared" ref="BY84:BY86" si="335">BV84</f>
        <v>8.8607594936708861E-2</v>
      </c>
      <c r="BZ84" s="488"/>
    </row>
    <row r="85" spans="56:83" ht="16.5" customHeight="1" x14ac:dyDescent="0.2">
      <c r="BD85" s="486"/>
      <c r="BE85" s="47" t="s">
        <v>54</v>
      </c>
      <c r="BF85" s="53">
        <f t="shared" si="326"/>
        <v>3.8297872340425532E-2</v>
      </c>
      <c r="BG85" s="53">
        <f t="shared" si="327"/>
        <v>3.8297872340425532E-2</v>
      </c>
      <c r="BH85" s="16" t="str">
        <f t="shared" si="328"/>
        <v/>
      </c>
      <c r="BI85" s="53">
        <f t="shared" si="329"/>
        <v>3.8297872340425532E-2</v>
      </c>
      <c r="BJ85" s="53">
        <f t="shared" si="330"/>
        <v>3.8297872340425532E-2</v>
      </c>
      <c r="BK85" s="488"/>
      <c r="BS85" s="486"/>
      <c r="BT85" s="47" t="s">
        <v>54</v>
      </c>
      <c r="BU85" s="53">
        <f t="shared" si="331"/>
        <v>3.8297872340425532E-2</v>
      </c>
      <c r="BV85" s="53">
        <f t="shared" si="332"/>
        <v>3.8297872340425532E-2</v>
      </c>
      <c r="BW85" s="16" t="str">
        <f t="shared" si="333"/>
        <v/>
      </c>
      <c r="BX85" s="53">
        <f t="shared" si="334"/>
        <v>3.8297872340425532E-2</v>
      </c>
      <c r="BY85" s="53">
        <f t="shared" si="335"/>
        <v>3.8297872340425532E-2</v>
      </c>
      <c r="BZ85" s="488"/>
    </row>
    <row r="86" spans="56:83" ht="16.5" customHeight="1" x14ac:dyDescent="0.2">
      <c r="BD86" s="487"/>
      <c r="BE86" s="47" t="s">
        <v>118</v>
      </c>
      <c r="BF86" s="53">
        <f>AVERAGE(BF83:BF85)</f>
        <v>7.879817279067497E-2</v>
      </c>
      <c r="BG86" s="53">
        <f>AVERAGE(BG83:BG85)</f>
        <v>7.879817279067497E-2</v>
      </c>
      <c r="BH86" s="16" t="str">
        <f t="shared" si="328"/>
        <v/>
      </c>
      <c r="BI86" s="53">
        <f t="shared" si="329"/>
        <v>7.879817279067497E-2</v>
      </c>
      <c r="BJ86" s="53">
        <f t="shared" si="330"/>
        <v>7.879817279067497E-2</v>
      </c>
      <c r="BK86" s="488"/>
      <c r="BS86" s="487"/>
      <c r="BT86" s="47" t="s">
        <v>118</v>
      </c>
      <c r="BU86" s="53">
        <f t="shared" si="331"/>
        <v>7.879817279067497E-2</v>
      </c>
      <c r="BV86" s="53">
        <f>AVERAGE(BV83:BV85)</f>
        <v>7.879817279067497E-2</v>
      </c>
      <c r="BW86" s="16" t="str">
        <f t="shared" si="333"/>
        <v/>
      </c>
      <c r="BX86" s="53">
        <f t="shared" si="334"/>
        <v>7.879817279067497E-2</v>
      </c>
      <c r="BY86" s="53">
        <f t="shared" si="335"/>
        <v>7.879817279067497E-2</v>
      </c>
      <c r="BZ86" s="488"/>
    </row>
    <row r="87" spans="56:83" ht="16.5" customHeight="1" x14ac:dyDescent="0.2">
      <c r="BD87"/>
      <c r="BE87"/>
      <c r="BS87"/>
      <c r="BT87"/>
    </row>
    <row r="88" spans="56:83" ht="16.5" customHeight="1" x14ac:dyDescent="0.2">
      <c r="BD88"/>
      <c r="BE88"/>
      <c r="BS88"/>
      <c r="BT88"/>
    </row>
    <row r="89" spans="56:83" ht="16.5" customHeight="1" x14ac:dyDescent="0.2">
      <c r="BI89" s="483" t="s">
        <v>84</v>
      </c>
      <c r="BJ89" s="484"/>
      <c r="BX89" s="483" t="s">
        <v>84</v>
      </c>
      <c r="BY89" s="484"/>
    </row>
    <row r="90" spans="56:83" ht="16.5" customHeight="1" x14ac:dyDescent="0.2">
      <c r="BF90" s="43" t="s">
        <v>5</v>
      </c>
      <c r="BG90" s="43" t="s">
        <v>6</v>
      </c>
      <c r="BH90" s="43" t="s">
        <v>55</v>
      </c>
      <c r="BI90" s="43" t="s">
        <v>5</v>
      </c>
      <c r="BJ90" s="43" t="s">
        <v>6</v>
      </c>
      <c r="BU90" s="43" t="s">
        <v>5</v>
      </c>
      <c r="BV90" s="43" t="s">
        <v>6</v>
      </c>
      <c r="BW90" s="43" t="s">
        <v>55</v>
      </c>
      <c r="BX90" s="43" t="s">
        <v>5</v>
      </c>
      <c r="BY90" s="43" t="s">
        <v>6</v>
      </c>
    </row>
    <row r="91" spans="56:83" ht="16.5" customHeight="1" x14ac:dyDescent="0.2">
      <c r="BD91" s="485" t="s">
        <v>204</v>
      </c>
      <c r="BE91" s="47" t="s">
        <v>32</v>
      </c>
      <c r="BF91" s="53">
        <f>AQ54</f>
        <v>0.13432835820895522</v>
      </c>
      <c r="BG91" s="53">
        <f>BK19</f>
        <v>0.13432835820895522</v>
      </c>
      <c r="BH91" s="16" t="str">
        <f>IF(BF91=BG91,"",IF(BG91&gt;BF91,CONCATENATE($A$1,TEXT(((BG91-BF91)/BF91),"##%")),CONCATENATE($A$2,TEXT(((BG91-BF91)/BF91),"##%"))))</f>
        <v/>
      </c>
      <c r="BI91" s="53">
        <f>BF91</f>
        <v>0.13432835820895522</v>
      </c>
      <c r="BJ91" s="53">
        <f>BG91</f>
        <v>0.13432835820895522</v>
      </c>
      <c r="BK91" s="488" t="str">
        <f>IF(AND(BK75&lt;&gt;"",BK83&lt;&gt;""),"Returns not entered.  To see impact of returns, enter current or estimated returns in Program Input tab.","")</f>
        <v/>
      </c>
      <c r="BS91" s="485" t="s">
        <v>214</v>
      </c>
      <c r="BT91" s="47" t="s">
        <v>32</v>
      </c>
      <c r="BU91" s="53">
        <f>AQ54</f>
        <v>0.13432835820895522</v>
      </c>
      <c r="BV91" s="53">
        <f>BZ19</f>
        <v>0.13432835820895522</v>
      </c>
      <c r="BW91" s="16" t="str">
        <f>IF(BU91=BV91,"",IF(BV91&gt;BU91,CONCATENATE($A$1,TEXT(((BV91-BU91)/BU91),"##%")),CONCATENATE($A$2,TEXT(((BV91-BU91)/BU91),"##%"))))</f>
        <v/>
      </c>
      <c r="BX91" s="53">
        <f>BU91</f>
        <v>0.13432835820895522</v>
      </c>
      <c r="BY91" s="53">
        <f>BV91</f>
        <v>0.13432835820895522</v>
      </c>
      <c r="BZ91" s="488" t="str">
        <f>IF(AND(BZ75&lt;&gt;"",BZ83&lt;&gt;""),"Returns not entered.  To see impact of returns, enter current or estimated returns in Program Input tab.","")</f>
        <v/>
      </c>
    </row>
    <row r="92" spans="56:83" ht="16.5" customHeight="1" x14ac:dyDescent="0.2">
      <c r="BD92" s="486"/>
      <c r="BE92" s="47" t="s">
        <v>33</v>
      </c>
      <c r="BF92" s="53">
        <f t="shared" ref="BF92:BF93" si="336">AQ55</f>
        <v>8.203125E-2</v>
      </c>
      <c r="BG92" s="53">
        <f t="shared" ref="BG92:BG93" si="337">BK20</f>
        <v>8.203125E-2</v>
      </c>
      <c r="BH92" s="16" t="str">
        <f t="shared" ref="BH92:BH94" si="338">IF(BF92=BG92,"",IF(BG92&gt;BF92,CONCATENATE($A$1,TEXT(((BG92-BF92)/BF92),"##%")),CONCATENATE($A$2,TEXT(((BG92-BF92)/BF92),"##%"))))</f>
        <v/>
      </c>
      <c r="BI92" s="53">
        <f t="shared" ref="BI92:BI94" si="339">BF92</f>
        <v>8.203125E-2</v>
      </c>
      <c r="BJ92" s="53">
        <f t="shared" ref="BJ92:BJ94" si="340">BG92</f>
        <v>8.203125E-2</v>
      </c>
      <c r="BK92" s="488"/>
      <c r="BS92" s="486"/>
      <c r="BT92" s="47" t="s">
        <v>33</v>
      </c>
      <c r="BU92" s="53">
        <f t="shared" ref="BU92:BU94" si="341">AQ55</f>
        <v>8.203125E-2</v>
      </c>
      <c r="BV92" s="53">
        <f t="shared" ref="BV92:BV93" si="342">BZ20</f>
        <v>8.203125E-2</v>
      </c>
      <c r="BW92" s="16" t="str">
        <f t="shared" ref="BW92:BW94" si="343">IF(BU92=BV92,"",IF(BV92&gt;BU92,CONCATENATE($A$1,TEXT(((BV92-BU92)/BU92),"##%")),CONCATENATE($A$2,TEXT(((BV92-BU92)/BU92),"##%"))))</f>
        <v/>
      </c>
      <c r="BX92" s="53">
        <f t="shared" ref="BX92:BX94" si="344">BU92</f>
        <v>8.203125E-2</v>
      </c>
      <c r="BY92" s="53">
        <f t="shared" ref="BY92:BY94" si="345">BV92</f>
        <v>8.203125E-2</v>
      </c>
      <c r="BZ92" s="488"/>
    </row>
    <row r="93" spans="56:83" ht="16.5" customHeight="1" x14ac:dyDescent="0.2">
      <c r="BD93" s="486"/>
      <c r="BE93" s="47" t="s">
        <v>54</v>
      </c>
      <c r="BF93" s="53">
        <f t="shared" si="336"/>
        <v>5.4755043227665709E-2</v>
      </c>
      <c r="BG93" s="53">
        <f t="shared" si="337"/>
        <v>5.4755043227665709E-2</v>
      </c>
      <c r="BH93" s="16" t="str">
        <f t="shared" si="338"/>
        <v/>
      </c>
      <c r="BI93" s="53">
        <f t="shared" si="339"/>
        <v>5.4755043227665709E-2</v>
      </c>
      <c r="BJ93" s="53">
        <f t="shared" si="340"/>
        <v>5.4755043227665709E-2</v>
      </c>
      <c r="BK93" s="488"/>
      <c r="BS93" s="486"/>
      <c r="BT93" s="47" t="s">
        <v>54</v>
      </c>
      <c r="BU93" s="53">
        <f t="shared" si="341"/>
        <v>5.4755043227665709E-2</v>
      </c>
      <c r="BV93" s="53">
        <f t="shared" si="342"/>
        <v>5.4755043227665709E-2</v>
      </c>
      <c r="BW93" s="16" t="str">
        <f t="shared" si="343"/>
        <v/>
      </c>
      <c r="BX93" s="53"/>
      <c r="BY93" s="53">
        <f t="shared" si="345"/>
        <v>5.4755043227665709E-2</v>
      </c>
      <c r="BZ93" s="488"/>
    </row>
    <row r="94" spans="56:83" ht="16.5" customHeight="1" x14ac:dyDescent="0.2">
      <c r="BD94" s="487"/>
      <c r="BE94" s="47" t="s">
        <v>118</v>
      </c>
      <c r="BF94" s="53">
        <f>AVERAGE(BF91:BF93)</f>
        <v>9.0371550478873644E-2</v>
      </c>
      <c r="BG94" s="53">
        <f>AVERAGE(BG91:BG93)</f>
        <v>9.0371550478873644E-2</v>
      </c>
      <c r="BH94" s="16" t="str">
        <f t="shared" si="338"/>
        <v/>
      </c>
      <c r="BI94" s="53">
        <f t="shared" si="339"/>
        <v>9.0371550478873644E-2</v>
      </c>
      <c r="BJ94" s="53">
        <f t="shared" si="340"/>
        <v>9.0371550478873644E-2</v>
      </c>
      <c r="BK94" s="488"/>
      <c r="BS94" s="487"/>
      <c r="BT94" s="47" t="s">
        <v>118</v>
      </c>
      <c r="BU94" s="53">
        <f t="shared" si="341"/>
        <v>9.0371550478873644E-2</v>
      </c>
      <c r="BV94" s="53">
        <f>AVERAGE(BV91:BV93)</f>
        <v>9.0371550478873644E-2</v>
      </c>
      <c r="BW94" s="16" t="str">
        <f t="shared" si="343"/>
        <v/>
      </c>
      <c r="BX94" s="53">
        <f t="shared" si="344"/>
        <v>9.0371550478873644E-2</v>
      </c>
      <c r="BY94" s="53">
        <f t="shared" si="345"/>
        <v>9.0371550478873644E-2</v>
      </c>
      <c r="BZ94" s="488"/>
    </row>
    <row r="95" spans="56:83" ht="16.5" customHeight="1" x14ac:dyDescent="0.2">
      <c r="BD95"/>
      <c r="BE95"/>
      <c r="BS95"/>
      <c r="BT95"/>
    </row>
    <row r="96" spans="56:83" ht="16.5" customHeight="1" x14ac:dyDescent="0.2">
      <c r="BD96" s="23"/>
      <c r="BE96" s="37"/>
      <c r="BF96"/>
      <c r="BG96" s="23"/>
      <c r="BH96"/>
      <c r="BI96" s="23"/>
      <c r="BJ96" s="23"/>
      <c r="BK96" s="23"/>
      <c r="BL96" s="483" t="s">
        <v>84</v>
      </c>
      <c r="BM96" s="490"/>
      <c r="BN96" s="490"/>
      <c r="BO96" s="490"/>
      <c r="BP96" s="484"/>
      <c r="BQ96"/>
      <c r="BS96" s="23"/>
      <c r="BT96" s="37"/>
      <c r="BU96"/>
      <c r="BV96" s="23"/>
      <c r="BW96"/>
      <c r="BX96" s="23"/>
      <c r="BY96" s="23"/>
      <c r="BZ96" s="23"/>
      <c r="CA96" s="483" t="s">
        <v>84</v>
      </c>
      <c r="CB96" s="490"/>
      <c r="CC96" s="490"/>
      <c r="CD96" s="490"/>
      <c r="CE96" s="484"/>
    </row>
    <row r="97" spans="56:84" ht="34.5" customHeight="1" x14ac:dyDescent="0.2">
      <c r="BD97" s="23"/>
      <c r="BE97" s="206" t="str">
        <f>IF(BK75="","","Returns not input; no current or new returns shown.  To see impact of rate of return, input returns in Program Input tab.")</f>
        <v/>
      </c>
      <c r="BF97" s="202" t="s">
        <v>109</v>
      </c>
      <c r="BG97" s="202" t="s">
        <v>111</v>
      </c>
      <c r="BH97" s="202" t="s">
        <v>110</v>
      </c>
      <c r="BI97" s="202" t="s">
        <v>112</v>
      </c>
      <c r="BJ97" s="202" t="s">
        <v>115</v>
      </c>
      <c r="BK97" s="203" t="s">
        <v>114</v>
      </c>
      <c r="BL97" s="202" t="s">
        <v>109</v>
      </c>
      <c r="BM97" s="202" t="s">
        <v>111</v>
      </c>
      <c r="BN97" s="202" t="s">
        <v>110</v>
      </c>
      <c r="BO97" s="202" t="s">
        <v>112</v>
      </c>
      <c r="BP97" s="203" t="s">
        <v>55</v>
      </c>
      <c r="BQ97"/>
      <c r="BS97" s="23"/>
      <c r="BT97" s="246" t="str">
        <f>IF(BZ75="","","Returns not input; no current or new returns shown.  To see impact of rate of return, input returns in Program Input tab.")</f>
        <v/>
      </c>
      <c r="BU97" s="202" t="s">
        <v>109</v>
      </c>
      <c r="BV97" s="202" t="s">
        <v>111</v>
      </c>
      <c r="BW97" s="202" t="s">
        <v>110</v>
      </c>
      <c r="BX97" s="202" t="s">
        <v>112</v>
      </c>
      <c r="BY97" s="202" t="s">
        <v>115</v>
      </c>
      <c r="BZ97" s="203" t="s">
        <v>114</v>
      </c>
      <c r="CA97" s="202" t="s">
        <v>109</v>
      </c>
      <c r="CB97" s="202" t="s">
        <v>111</v>
      </c>
      <c r="CC97" s="202" t="s">
        <v>110</v>
      </c>
      <c r="CD97" s="202" t="s">
        <v>112</v>
      </c>
      <c r="CE97" s="203" t="s">
        <v>55</v>
      </c>
    </row>
    <row r="98" spans="56:84" ht="16.5" customHeight="1" x14ac:dyDescent="0.2">
      <c r="BD98" s="23"/>
      <c r="BE98" s="23"/>
      <c r="BF98" s="23"/>
      <c r="BG98" s="23"/>
      <c r="BH98" s="23"/>
      <c r="BI98" s="23"/>
      <c r="BJ98" s="23"/>
      <c r="BK98" s="23"/>
      <c r="BL98" s="23"/>
      <c r="BM98" s="23"/>
      <c r="BN98" s="23"/>
      <c r="BO98" s="23"/>
      <c r="BP98" s="23"/>
      <c r="BQ98" s="23"/>
      <c r="BS98" s="23"/>
      <c r="BT98" s="23"/>
      <c r="BU98" s="23"/>
      <c r="BV98" s="23"/>
      <c r="BW98" s="23"/>
      <c r="BX98" s="23"/>
      <c r="BY98" s="23"/>
      <c r="BZ98" s="23"/>
      <c r="CA98" s="23"/>
      <c r="CB98" s="23"/>
      <c r="CC98" s="23"/>
      <c r="CD98" s="23"/>
      <c r="CE98" s="23"/>
    </row>
    <row r="99" spans="56:84" ht="16.5" customHeight="1" x14ac:dyDescent="0.2">
      <c r="BD99" s="491" t="s">
        <v>341</v>
      </c>
      <c r="BE99" s="199" t="s">
        <v>32</v>
      </c>
      <c r="BF99" s="48">
        <f>BF5</f>
        <v>265</v>
      </c>
      <c r="BG99" s="48">
        <f>AU5</f>
        <v>226</v>
      </c>
      <c r="BH99" s="200"/>
      <c r="BI99" s="200"/>
      <c r="BJ99" s="52">
        <f>BF99-BG99</f>
        <v>39</v>
      </c>
      <c r="BK99" s="16" t="str">
        <f t="shared" ref="BK99:BK101" si="346">IF(BG99=BI100,"",IF(BI100&gt;BG99,CONCATENATE($A$3,TEXT((BI100-BG99),"##")),TEXT((BI100-BG99),"##")))</f>
        <v/>
      </c>
      <c r="BL99" s="52">
        <f>BF99</f>
        <v>265</v>
      </c>
      <c r="BM99" s="52">
        <f>BG99</f>
        <v>226</v>
      </c>
      <c r="BN99" s="200"/>
      <c r="BO99" s="200"/>
      <c r="BP99" s="16" t="str">
        <f>IF(BL99=BN100,"",IF(BN100&gt;BL99,CONCATENATE($A$1,TEXT(((BN100-BL99)/BL99),"##%")),CONCATENATE($A$2,TEXT(((BN100-BL99)/BL99),"##%"))))</f>
        <v/>
      </c>
      <c r="BQ99" s="494" t="str">
        <f>IF(BP108="","",CONCATENATE("Overall ",BP108))</f>
        <v/>
      </c>
      <c r="BS99" s="491" t="s">
        <v>342</v>
      </c>
      <c r="BT99" s="199" t="s">
        <v>32</v>
      </c>
      <c r="BU99" s="48">
        <f>BU5</f>
        <v>265</v>
      </c>
      <c r="BV99" s="210">
        <f>BG99</f>
        <v>226</v>
      </c>
      <c r="BW99" s="200"/>
      <c r="BX99" s="200"/>
      <c r="BY99" s="52">
        <f>IF(BU99-BV99=0,"",BU99-BV99)</f>
        <v>39</v>
      </c>
      <c r="BZ99" s="16" t="str">
        <f t="shared" ref="BZ99:BZ101" si="347">IF(BV99=BX100,"",IF(BX100&gt;BV99,CONCATENATE($A$3,TEXT((BX100-BV99),"##")),TEXT((BX100-BV99),"##")))</f>
        <v/>
      </c>
      <c r="CA99" s="52">
        <f>BU99</f>
        <v>265</v>
      </c>
      <c r="CB99" s="52">
        <f>BV99</f>
        <v>226</v>
      </c>
      <c r="CC99" s="200"/>
      <c r="CD99" s="200"/>
      <c r="CE99" s="16" t="str">
        <f>IF(CB99=CD100,"",IF(CD100&gt;CB99,CONCATENATE($A$1,TEXT(((CD100-CB99)/CB99),"##%")),CONCATENATE($A$2,TEXT(((CD100-CB99)/CB99),"##%"))))</f>
        <v/>
      </c>
      <c r="CF99" s="494" t="str">
        <f>IF(CE108="","",CONCATENATE("Overall ",CE108))</f>
        <v/>
      </c>
    </row>
    <row r="100" spans="56:84" ht="16.5" customHeight="1" x14ac:dyDescent="0.2">
      <c r="BD100" s="492"/>
      <c r="BE100" s="199"/>
      <c r="BF100" s="200"/>
      <c r="BG100" s="200"/>
      <c r="BH100" s="48">
        <f>BO5</f>
        <v>265</v>
      </c>
      <c r="BI100" s="48">
        <f>BP5</f>
        <v>226</v>
      </c>
      <c r="BJ100" s="52">
        <f>BH100-BI100</f>
        <v>39</v>
      </c>
      <c r="BK100" s="204" t="str">
        <f t="shared" si="346"/>
        <v/>
      </c>
      <c r="BL100" s="200"/>
      <c r="BM100" s="200"/>
      <c r="BN100" s="52">
        <f>BH100</f>
        <v>265</v>
      </c>
      <c r="BO100" s="52">
        <f>BI100</f>
        <v>226</v>
      </c>
      <c r="BP100" s="200"/>
      <c r="BQ100" s="495"/>
      <c r="BS100" s="492"/>
      <c r="BT100" s="199"/>
      <c r="BU100" s="200"/>
      <c r="BV100" s="213"/>
      <c r="BW100" s="48">
        <f>CD5</f>
        <v>265</v>
      </c>
      <c r="BX100" s="48">
        <f>CE5</f>
        <v>226</v>
      </c>
      <c r="BY100" s="52">
        <f>IF(BW100-BX100=0,"",BW100-BX100)</f>
        <v>39</v>
      </c>
      <c r="BZ100" s="204" t="str">
        <f t="shared" si="347"/>
        <v/>
      </c>
      <c r="CA100" s="200"/>
      <c r="CB100" s="200"/>
      <c r="CC100" s="52">
        <f>BW100</f>
        <v>265</v>
      </c>
      <c r="CD100" s="52">
        <f>BX100</f>
        <v>226</v>
      </c>
      <c r="CE100" s="200"/>
      <c r="CF100" s="495"/>
    </row>
    <row r="101" spans="56:84" ht="16.5" customHeight="1" x14ac:dyDescent="0.2">
      <c r="BD101" s="492"/>
      <c r="BE101" s="23"/>
      <c r="BF101" s="200"/>
      <c r="BG101" s="200"/>
      <c r="BH101" s="200"/>
      <c r="BI101" s="200"/>
      <c r="BJ101" s="205"/>
      <c r="BK101" s="204" t="str">
        <f t="shared" si="346"/>
        <v/>
      </c>
      <c r="BL101" s="200"/>
      <c r="BM101" s="200"/>
      <c r="BN101" s="200"/>
      <c r="BO101" s="200"/>
      <c r="BP101" s="200"/>
      <c r="BQ101" s="495"/>
      <c r="BS101" s="492"/>
      <c r="BT101" s="23"/>
      <c r="BU101" s="200"/>
      <c r="BV101" s="213"/>
      <c r="BW101" s="200"/>
      <c r="BX101" s="200"/>
      <c r="BY101"/>
      <c r="BZ101" s="204" t="str">
        <f t="shared" si="347"/>
        <v/>
      </c>
      <c r="CA101" s="200"/>
      <c r="CB101" s="200"/>
      <c r="CC101" s="200"/>
      <c r="CD101" s="200"/>
      <c r="CE101" s="200"/>
      <c r="CF101" s="495"/>
    </row>
    <row r="102" spans="56:84" ht="16.5" customHeight="1" x14ac:dyDescent="0.2">
      <c r="BD102" s="492"/>
      <c r="BE102" s="199" t="s">
        <v>33</v>
      </c>
      <c r="BF102" s="48">
        <f>BF6</f>
        <v>98</v>
      </c>
      <c r="BG102" s="48">
        <f>AU6</f>
        <v>91</v>
      </c>
      <c r="BH102" s="200"/>
      <c r="BI102" s="200"/>
      <c r="BJ102" s="52">
        <f t="shared" ref="BJ102" si="348">BF102-BG102</f>
        <v>7</v>
      </c>
      <c r="BK102" s="16" t="str">
        <f>IF(BG102=BI103,"",IF(BI103&gt;BG102,CONCATENATE($A$3,TEXT((BI103-BG102),"##")),TEXT((BI103-BG102),"##")))</f>
        <v/>
      </c>
      <c r="BL102" s="52">
        <f>BF102</f>
        <v>98</v>
      </c>
      <c r="BM102" s="52">
        <f>BG102</f>
        <v>91</v>
      </c>
      <c r="BN102" s="200"/>
      <c r="BO102" s="200"/>
      <c r="BP102" s="16" t="str">
        <f>IF(BL102=BN103,"",IF(BN103&gt;BL102,CONCATENATE($A$1,TEXT(((BN103-BL102)/BL102),"##%")),CONCATENATE($A$2,TEXT(((BN103-BL102)/BL102),"##%"))))</f>
        <v/>
      </c>
      <c r="BQ102" s="495"/>
      <c r="BS102" s="492"/>
      <c r="BT102" s="199" t="s">
        <v>33</v>
      </c>
      <c r="BU102" s="48">
        <f>BU6</f>
        <v>98</v>
      </c>
      <c r="BV102" s="211">
        <f t="shared" ref="BV102:BV108" si="349">BG102</f>
        <v>91</v>
      </c>
      <c r="BW102" s="200"/>
      <c r="BX102" s="200"/>
      <c r="BY102" s="52">
        <f t="shared" ref="BY102" si="350">IF(BU102-BV102=0,"",BU102-BV102)</f>
        <v>7</v>
      </c>
      <c r="BZ102" s="16" t="str">
        <f>IF(BV102=BX103,"",IF(BX103&gt;BV102,CONCATENATE($A$3,TEXT((BX103-BV102),"##")),TEXT((BX103-BV102),"##")))</f>
        <v/>
      </c>
      <c r="CA102" s="52">
        <f>BU102</f>
        <v>98</v>
      </c>
      <c r="CB102" s="52">
        <f>BV102</f>
        <v>91</v>
      </c>
      <c r="CC102" s="200"/>
      <c r="CD102" s="200"/>
      <c r="CE102" s="16" t="str">
        <f>IF(CB102=CD103,"",IF(CD103&gt;CB102,CONCATENATE($A$1,TEXT(((CD103-CB102)/CB102),"##%")),CONCATENATE($A$2,TEXT(((CD103-CB102)/CB102),"##%"))))</f>
        <v/>
      </c>
      <c r="CF102" s="495"/>
    </row>
    <row r="103" spans="56:84" ht="16.5" customHeight="1" x14ac:dyDescent="0.2">
      <c r="BD103" s="492"/>
      <c r="BE103" s="199"/>
      <c r="BF103" s="200"/>
      <c r="BG103" s="200"/>
      <c r="BH103" s="48">
        <f>BO6</f>
        <v>97.999999999999986</v>
      </c>
      <c r="BI103" s="48">
        <f>BP6</f>
        <v>90.999999999999986</v>
      </c>
      <c r="BJ103" s="52">
        <f t="shared" ref="BJ103" si="351">BH103-BI103</f>
        <v>7</v>
      </c>
      <c r="BK103" s="204" t="str">
        <f t="shared" ref="BK103:BK108" si="352">IF(BG103=BI104,"",IF(BI104&gt;BG103,CONCATENATE($A$3,TEXT((BI104-BG103),"##")),TEXT((BI104-BG103),"##")))</f>
        <v/>
      </c>
      <c r="BL103" s="200"/>
      <c r="BM103" s="200"/>
      <c r="BN103" s="52">
        <f>BH103</f>
        <v>97.999999999999986</v>
      </c>
      <c r="BO103" s="52">
        <f>BI103</f>
        <v>90.999999999999986</v>
      </c>
      <c r="BP103" s="200"/>
      <c r="BQ103" s="495"/>
      <c r="BS103" s="492"/>
      <c r="BT103" s="199"/>
      <c r="BU103" s="200"/>
      <c r="BV103" s="213"/>
      <c r="BW103" s="48">
        <f>CD6</f>
        <v>97.999999999999986</v>
      </c>
      <c r="BX103" s="48">
        <f>CE6</f>
        <v>90.999999999999986</v>
      </c>
      <c r="BY103" s="52">
        <f t="shared" ref="BY103" si="353">IF(BW103-BX103=0,"",BW103-BX103)</f>
        <v>7</v>
      </c>
      <c r="BZ103" s="204" t="str">
        <f t="shared" ref="BZ103:BZ108" si="354">IF(BV103=BX104,"",IF(BX104&gt;BV103,CONCATENATE($A$3,TEXT((BX104-BV103),"##")),TEXT((BX104-BV103),"##")))</f>
        <v/>
      </c>
      <c r="CA103" s="200"/>
      <c r="CB103" s="200"/>
      <c r="CC103" s="52">
        <f>BW103</f>
        <v>97.999999999999986</v>
      </c>
      <c r="CD103" s="52">
        <f>BX103</f>
        <v>90.999999999999986</v>
      </c>
      <c r="CE103" s="200"/>
      <c r="CF103" s="495"/>
    </row>
    <row r="104" spans="56:84" ht="16.5" customHeight="1" x14ac:dyDescent="0.2">
      <c r="BD104" s="492"/>
      <c r="BF104" s="201"/>
      <c r="BG104" s="201"/>
      <c r="BH104" s="201"/>
      <c r="BI104" s="201"/>
      <c r="BJ104" s="205"/>
      <c r="BK104" s="204" t="str">
        <f t="shared" si="352"/>
        <v/>
      </c>
      <c r="BL104" s="201"/>
      <c r="BM104" s="201"/>
      <c r="BN104" s="201"/>
      <c r="BO104" s="201"/>
      <c r="BP104" s="201"/>
      <c r="BQ104" s="495"/>
      <c r="BS104" s="492"/>
      <c r="BU104" s="201"/>
      <c r="BV104" s="213"/>
      <c r="BW104" s="201"/>
      <c r="BX104" s="201"/>
      <c r="BY104"/>
      <c r="BZ104" s="204" t="str">
        <f t="shared" si="354"/>
        <v/>
      </c>
      <c r="CA104" s="201"/>
      <c r="CB104" s="201"/>
      <c r="CC104" s="201"/>
      <c r="CD104" s="201"/>
      <c r="CE104" s="201"/>
      <c r="CF104" s="495"/>
    </row>
    <row r="105" spans="56:84" ht="16.5" customHeight="1" x14ac:dyDescent="0.2">
      <c r="BD105" s="492"/>
      <c r="BE105" s="199" t="s">
        <v>54</v>
      </c>
      <c r="BF105" s="48">
        <f>BF7</f>
        <v>112</v>
      </c>
      <c r="BG105" s="48">
        <f>AU7</f>
        <v>102</v>
      </c>
      <c r="BH105" s="200"/>
      <c r="BI105" s="200"/>
      <c r="BJ105" s="52">
        <f t="shared" ref="BJ105" si="355">BF105-BG105</f>
        <v>10</v>
      </c>
      <c r="BK105" s="16" t="str">
        <f t="shared" si="352"/>
        <v/>
      </c>
      <c r="BL105" s="52">
        <f>BF105</f>
        <v>112</v>
      </c>
      <c r="BM105" s="52">
        <f>BG105</f>
        <v>102</v>
      </c>
      <c r="BN105" s="200"/>
      <c r="BO105" s="200"/>
      <c r="BP105" s="16" t="str">
        <f>IF(BL105=BN106,"",IF(BN106&gt;BL105,CONCATENATE($A$1,TEXT(((BN106-BL105)/BL105),"##%")),CONCATENATE($A$2,TEXT(((BN106-BL105)/BL105),"##%"))))</f>
        <v/>
      </c>
      <c r="BQ105" s="495"/>
      <c r="BS105" s="492"/>
      <c r="BT105" s="199" t="s">
        <v>54</v>
      </c>
      <c r="BU105" s="48">
        <f>BU7</f>
        <v>112</v>
      </c>
      <c r="BV105" s="211">
        <f t="shared" si="349"/>
        <v>102</v>
      </c>
      <c r="BW105" s="200"/>
      <c r="BX105" s="200"/>
      <c r="BY105" s="52">
        <f t="shared" ref="BY105" si="356">IF(BU105-BV105=0,"",BU105-BV105)</f>
        <v>10</v>
      </c>
      <c r="BZ105" s="16" t="str">
        <f t="shared" si="354"/>
        <v/>
      </c>
      <c r="CA105" s="52">
        <f>BU105</f>
        <v>112</v>
      </c>
      <c r="CB105" s="52">
        <f>BV105</f>
        <v>102</v>
      </c>
      <c r="CC105" s="200"/>
      <c r="CD105" s="200"/>
      <c r="CE105" s="16" t="str">
        <f>IF(CB105=CD106,"",IF(CD106&gt;CB105,CONCATENATE($A$1,TEXT(((CD106-CB105)/CB105),"##%")),CONCATENATE($A$2,TEXT(((CD106-CB105)/CB105),"##%"))))</f>
        <v/>
      </c>
      <c r="CF105" s="495"/>
    </row>
    <row r="106" spans="56:84" ht="16.5" customHeight="1" x14ac:dyDescent="0.2">
      <c r="BD106" s="492"/>
      <c r="BE106" s="199"/>
      <c r="BF106" s="201"/>
      <c r="BG106" s="201"/>
      <c r="BH106" s="48">
        <f>BO7</f>
        <v>112</v>
      </c>
      <c r="BI106" s="48">
        <f>BP7</f>
        <v>102</v>
      </c>
      <c r="BJ106" s="52">
        <f t="shared" ref="BJ106" si="357">BH106-BI106</f>
        <v>10</v>
      </c>
      <c r="BK106" s="204" t="str">
        <f t="shared" si="352"/>
        <v/>
      </c>
      <c r="BL106" s="201"/>
      <c r="BM106" s="201"/>
      <c r="BN106" s="52">
        <f>BH106</f>
        <v>112</v>
      </c>
      <c r="BO106" s="52">
        <f>BI106</f>
        <v>102</v>
      </c>
      <c r="BP106" s="201"/>
      <c r="BQ106" s="495"/>
      <c r="BS106" s="492"/>
      <c r="BT106" s="199"/>
      <c r="BU106" s="201"/>
      <c r="BV106" s="213"/>
      <c r="BW106" s="48">
        <f>CD7</f>
        <v>112</v>
      </c>
      <c r="BX106" s="48">
        <f>CE7</f>
        <v>102</v>
      </c>
      <c r="BY106" s="52">
        <f t="shared" ref="BY106" si="358">IF(BW106-BX106=0,"",BW106-BX106)</f>
        <v>10</v>
      </c>
      <c r="BZ106" s="204" t="str">
        <f t="shared" si="354"/>
        <v/>
      </c>
      <c r="CA106" s="201"/>
      <c r="CB106" s="201"/>
      <c r="CC106" s="52">
        <f>BW106</f>
        <v>112</v>
      </c>
      <c r="CD106" s="52">
        <f>BX106</f>
        <v>102</v>
      </c>
      <c r="CE106" s="201"/>
      <c r="CF106" s="495"/>
    </row>
    <row r="107" spans="56:84" ht="16.5" customHeight="1" x14ac:dyDescent="0.2">
      <c r="BD107" s="492"/>
      <c r="BF107" s="201"/>
      <c r="BG107" s="201"/>
      <c r="BH107" s="201"/>
      <c r="BI107" s="201"/>
      <c r="BJ107" s="205"/>
      <c r="BK107" s="204" t="str">
        <f t="shared" si="352"/>
        <v/>
      </c>
      <c r="BL107" s="201"/>
      <c r="BM107" s="201"/>
      <c r="BN107" s="201"/>
      <c r="BO107" s="201"/>
      <c r="BP107" s="201"/>
      <c r="BQ107" s="495"/>
      <c r="BS107" s="492"/>
      <c r="BU107" s="201"/>
      <c r="BV107" s="213"/>
      <c r="BW107" s="201"/>
      <c r="BX107" s="201"/>
      <c r="BY107"/>
      <c r="BZ107" s="204" t="str">
        <f t="shared" si="354"/>
        <v/>
      </c>
      <c r="CA107" s="201"/>
      <c r="CB107" s="201"/>
      <c r="CC107" s="201"/>
      <c r="CD107" s="201"/>
      <c r="CE107" s="201"/>
      <c r="CF107" s="495"/>
    </row>
    <row r="108" spans="56:84" ht="16.5" customHeight="1" x14ac:dyDescent="0.2">
      <c r="BD108" s="492"/>
      <c r="BE108" s="47" t="s">
        <v>118</v>
      </c>
      <c r="BF108" s="48">
        <f>BF99+BF102+BF105</f>
        <v>475</v>
      </c>
      <c r="BG108" s="48">
        <f>BG99+BG102+BG105</f>
        <v>419</v>
      </c>
      <c r="BH108" s="201"/>
      <c r="BI108" s="201"/>
      <c r="BJ108" s="52">
        <f t="shared" ref="BJ108" si="359">BF108-BG108</f>
        <v>56</v>
      </c>
      <c r="BK108" s="16" t="str">
        <f t="shared" si="352"/>
        <v/>
      </c>
      <c r="BL108" s="52">
        <f>BF108</f>
        <v>475</v>
      </c>
      <c r="BM108" s="52">
        <f>BG108</f>
        <v>419</v>
      </c>
      <c r="BN108" s="201"/>
      <c r="BO108" s="201"/>
      <c r="BP108" s="16" t="str">
        <f>IF(BL108=BN109,"",IF(BN109&gt;BL108,CONCATENATE($A$1,TEXT(((BN109-BL108)/BL108),"##%")),CONCATENATE($A$2,TEXT(((BN109-BL108)/BL108),"##%"))))</f>
        <v/>
      </c>
      <c r="BQ108" s="495"/>
      <c r="BS108" s="492"/>
      <c r="BT108" s="47" t="s">
        <v>118</v>
      </c>
      <c r="BU108" s="48">
        <f>BU99+BU102+BU105</f>
        <v>475</v>
      </c>
      <c r="BV108" s="212">
        <f t="shared" si="349"/>
        <v>419</v>
      </c>
      <c r="BW108" s="201"/>
      <c r="BX108" s="201"/>
      <c r="BY108" s="52">
        <f t="shared" ref="BY108" si="360">IF(BU108-BV108=0,"",BU108-BV108)</f>
        <v>56</v>
      </c>
      <c r="BZ108" s="16" t="str">
        <f t="shared" si="354"/>
        <v/>
      </c>
      <c r="CA108" s="52">
        <f>BU108</f>
        <v>475</v>
      </c>
      <c r="CB108" s="52">
        <f>BV108</f>
        <v>419</v>
      </c>
      <c r="CC108" s="201"/>
      <c r="CD108" s="201"/>
      <c r="CE108" s="16" t="str">
        <f>IF(CB108=CD109,"",IF(CD109&gt;CB108,CONCATENATE($A$1,TEXT(((CD109-CB108)/CB108),"##%")),CONCATENATE($A$2,TEXT(((CD109-CB108)/CB108),"##%"))))</f>
        <v/>
      </c>
      <c r="CF108" s="495"/>
    </row>
    <row r="109" spans="56:84" ht="16.5" customHeight="1" x14ac:dyDescent="0.2">
      <c r="BD109" s="493"/>
      <c r="BE109" s="199"/>
      <c r="BF109" s="201"/>
      <c r="BG109" s="201"/>
      <c r="BH109" s="48">
        <f>SUM(BH100:BH106)</f>
        <v>475</v>
      </c>
      <c r="BI109" s="48">
        <f>SUM(BI100:BI106)</f>
        <v>419</v>
      </c>
      <c r="BJ109" s="52">
        <f t="shared" ref="BJ109" si="361">BH109-BI109</f>
        <v>56</v>
      </c>
      <c r="BK109" s="201"/>
      <c r="BL109" s="201"/>
      <c r="BM109" s="201"/>
      <c r="BN109" s="52">
        <f>BH109</f>
        <v>475</v>
      </c>
      <c r="BO109" s="52">
        <f>BI109</f>
        <v>419</v>
      </c>
      <c r="BP109" s="201"/>
      <c r="BQ109" s="496"/>
      <c r="BS109" s="493"/>
      <c r="BT109" s="199"/>
      <c r="BU109" s="201"/>
      <c r="BV109" s="201"/>
      <c r="BW109" s="48">
        <f>SUM(BW100:BW106)</f>
        <v>475</v>
      </c>
      <c r="BX109" s="48">
        <f>SUM(BX100:BX106)</f>
        <v>419</v>
      </c>
      <c r="BY109" s="52">
        <f t="shared" ref="BY109" si="362">IF(BW109-BX109=0,"",BW109-BX109)</f>
        <v>56</v>
      </c>
      <c r="BZ109" s="201"/>
      <c r="CA109" s="201"/>
      <c r="CB109" s="201"/>
      <c r="CC109" s="52">
        <f>BW109</f>
        <v>475</v>
      </c>
      <c r="CD109" s="52">
        <f>BX109</f>
        <v>419</v>
      </c>
      <c r="CE109" s="201"/>
      <c r="CF109" s="496"/>
    </row>
    <row r="111" spans="56:84" ht="16.5" customHeight="1" x14ac:dyDescent="0.2">
      <c r="BD111" s="23"/>
      <c r="BE111" s="37"/>
      <c r="BF111"/>
      <c r="BG111" s="23"/>
      <c r="BH111"/>
      <c r="BI111" s="23"/>
      <c r="BJ111" s="23"/>
      <c r="BK111" s="23"/>
      <c r="BL111" s="483" t="s">
        <v>84</v>
      </c>
      <c r="BM111" s="490"/>
      <c r="BN111" s="490"/>
      <c r="BO111" s="490"/>
      <c r="BP111" s="484"/>
      <c r="BQ111"/>
      <c r="BS111" s="23"/>
      <c r="BT111" s="37"/>
      <c r="BU111"/>
      <c r="BV111" s="23"/>
      <c r="BW111"/>
      <c r="BX111" s="23"/>
      <c r="BY111" s="23"/>
      <c r="BZ111" s="23"/>
      <c r="CA111" s="483" t="s">
        <v>84</v>
      </c>
      <c r="CB111" s="490"/>
      <c r="CC111" s="490"/>
      <c r="CD111" s="490"/>
      <c r="CE111" s="484"/>
    </row>
    <row r="112" spans="56:84" ht="16.5" customHeight="1" x14ac:dyDescent="0.2">
      <c r="BD112" s="23"/>
      <c r="BE112" s="6"/>
      <c r="BF112" s="35" t="s">
        <v>109</v>
      </c>
      <c r="BG112" s="35" t="s">
        <v>111</v>
      </c>
      <c r="BH112" s="35" t="s">
        <v>110</v>
      </c>
      <c r="BI112" s="35" t="s">
        <v>112</v>
      </c>
      <c r="BJ112" s="35" t="s">
        <v>113</v>
      </c>
      <c r="BK112" s="43" t="s">
        <v>55</v>
      </c>
      <c r="BL112" s="35" t="s">
        <v>109</v>
      </c>
      <c r="BM112" s="35" t="s">
        <v>111</v>
      </c>
      <c r="BN112" s="35" t="s">
        <v>110</v>
      </c>
      <c r="BO112" s="35" t="s">
        <v>112</v>
      </c>
      <c r="BP112" s="43" t="s">
        <v>55</v>
      </c>
      <c r="BQ112"/>
      <c r="BS112" s="23"/>
      <c r="BT112" s="246" t="str">
        <f>IF(BZ83="","","Returns not input; no current or new returns shown.  To see impact of rate of return, input returns in Program Input tab.")</f>
        <v/>
      </c>
      <c r="BU112" s="35" t="s">
        <v>109</v>
      </c>
      <c r="BV112" s="35" t="s">
        <v>111</v>
      </c>
      <c r="BW112" s="35" t="s">
        <v>110</v>
      </c>
      <c r="BX112" s="35" t="s">
        <v>112</v>
      </c>
      <c r="BY112" s="35" t="s">
        <v>113</v>
      </c>
      <c r="BZ112" s="43" t="s">
        <v>55</v>
      </c>
      <c r="CA112" s="35" t="s">
        <v>109</v>
      </c>
      <c r="CB112" s="35" t="s">
        <v>111</v>
      </c>
      <c r="CC112" s="35" t="s">
        <v>110</v>
      </c>
      <c r="CD112" s="35" t="s">
        <v>112</v>
      </c>
      <c r="CE112" s="43" t="s">
        <v>55</v>
      </c>
    </row>
    <row r="113" spans="56:84" ht="16.5" customHeight="1" x14ac:dyDescent="0.2">
      <c r="BD113" s="23"/>
      <c r="BE113" s="23"/>
      <c r="BF113" s="23"/>
      <c r="BG113" s="23"/>
      <c r="BH113" s="23"/>
      <c r="BI113" s="23"/>
      <c r="BJ113" s="23"/>
      <c r="BK113" s="23"/>
      <c r="BL113" s="23"/>
      <c r="BM113" s="23"/>
      <c r="BN113" s="23"/>
      <c r="BO113" s="23"/>
      <c r="BP113" s="23"/>
      <c r="BQ113" s="23"/>
      <c r="BS113" s="23"/>
      <c r="BT113" s="23"/>
      <c r="BU113" s="23"/>
      <c r="BV113" s="23"/>
      <c r="BW113" s="23"/>
      <c r="BX113" s="23"/>
      <c r="BY113" s="23"/>
      <c r="BZ113" s="23"/>
      <c r="CA113" s="23"/>
      <c r="CB113" s="23"/>
      <c r="CC113" s="23"/>
      <c r="CD113" s="23"/>
      <c r="CE113" s="23"/>
    </row>
    <row r="114" spans="56:84" ht="16.5" customHeight="1" x14ac:dyDescent="0.2">
      <c r="BD114" s="491" t="s">
        <v>205</v>
      </c>
      <c r="BE114" s="199" t="s">
        <v>32</v>
      </c>
      <c r="BF114" s="48">
        <f>BF12</f>
        <v>137</v>
      </c>
      <c r="BG114" s="48">
        <f>AU12</f>
        <v>122</v>
      </c>
      <c r="BH114" s="200"/>
      <c r="BI114" s="200"/>
      <c r="BJ114" s="52">
        <f>BF114-BG114</f>
        <v>15</v>
      </c>
      <c r="BK114" s="16" t="str">
        <f t="shared" ref="BK114:BK116" si="363">IF(BG114=BI115,"",IF(BI115&gt;BG114,CONCATENATE($A$3,TEXT((BI115-BG114),"##")),TEXT((BI115-BG114),"##")))</f>
        <v/>
      </c>
      <c r="BL114" s="52">
        <f>BF114</f>
        <v>137</v>
      </c>
      <c r="BM114" s="52">
        <f>BG114</f>
        <v>122</v>
      </c>
      <c r="BN114" s="200"/>
      <c r="BO114" s="200"/>
      <c r="BP114" s="16" t="str">
        <f>IF(BL114=BN115,"",IF(BN115&gt;BL114,CONCATENATE($A$1,TEXT(((BN115-BL114)/BL114),"##%")),CONCATENATE($A$2,TEXT(((BN115-BL114)/BL114),"##%"))))</f>
        <v/>
      </c>
      <c r="BQ114" s="494" t="str">
        <f>IF(BP123="","",CONCATENATE("Overall ",BP123))</f>
        <v/>
      </c>
      <c r="BS114" s="491" t="s">
        <v>215</v>
      </c>
      <c r="BT114" s="199" t="s">
        <v>32</v>
      </c>
      <c r="BU114" s="48">
        <f>BU12</f>
        <v>137</v>
      </c>
      <c r="BV114" s="48">
        <f>BG114</f>
        <v>122</v>
      </c>
      <c r="BW114" s="200"/>
      <c r="BX114" s="200"/>
      <c r="BY114" s="52">
        <f>IF(BU114-BV114=0,"",BU114-BV114)</f>
        <v>15</v>
      </c>
      <c r="BZ114" s="16" t="str">
        <f t="shared" ref="BZ114:BZ116" si="364">IF(BV114=BX115,"",IF(BX115&gt;BV114,CONCATENATE($A$3,TEXT((BX115-BV114),"##")),TEXT((BX115-BV114),"##")))</f>
        <v/>
      </c>
      <c r="CA114" s="52">
        <f>BU114</f>
        <v>137</v>
      </c>
      <c r="CB114" s="52">
        <f>BV114</f>
        <v>122</v>
      </c>
      <c r="CC114" s="200"/>
      <c r="CD114" s="200"/>
      <c r="CE114" s="16" t="str">
        <f>IF(CB114=CD115,"",IF(CD115&gt;CB114,CONCATENATE($A$1,TEXT(((CD115-CB114)/CB114),"##%")),CONCATENATE($A$2,TEXT(((CD115-CB114)/CB114),"##%"))))</f>
        <v/>
      </c>
      <c r="CF114" s="494" t="str">
        <f>IF(CE123="","",CONCATENATE("Overall ",CE123))</f>
        <v/>
      </c>
    </row>
    <row r="115" spans="56:84" ht="16.5" customHeight="1" x14ac:dyDescent="0.2">
      <c r="BD115" s="492"/>
      <c r="BE115" s="199"/>
      <c r="BF115" s="200"/>
      <c r="BG115" s="200"/>
      <c r="BH115" s="48">
        <f>BO12</f>
        <v>136.99999999999997</v>
      </c>
      <c r="BI115" s="48">
        <f>BP12</f>
        <v>121.99999999999997</v>
      </c>
      <c r="BJ115" s="52">
        <f>BH115-BI115</f>
        <v>15</v>
      </c>
      <c r="BK115" s="204" t="str">
        <f t="shared" si="363"/>
        <v/>
      </c>
      <c r="BL115" s="200"/>
      <c r="BM115" s="200"/>
      <c r="BN115" s="52">
        <f>BH115</f>
        <v>136.99999999999997</v>
      </c>
      <c r="BO115" s="52">
        <f>BI115</f>
        <v>121.99999999999997</v>
      </c>
      <c r="BP115" s="200"/>
      <c r="BQ115" s="495"/>
      <c r="BS115" s="492"/>
      <c r="BT115" s="199"/>
      <c r="BU115" s="200"/>
      <c r="BV115" s="213"/>
      <c r="BW115" s="48">
        <f>CD12</f>
        <v>136.99999999999997</v>
      </c>
      <c r="BX115" s="48">
        <f>CE12</f>
        <v>121.99999999999997</v>
      </c>
      <c r="BY115" s="52">
        <f>IF(BW115-BX115=0,"",BW115-BX115)</f>
        <v>15</v>
      </c>
      <c r="BZ115" s="204" t="str">
        <f t="shared" si="364"/>
        <v/>
      </c>
      <c r="CA115" s="200"/>
      <c r="CB115" s="200"/>
      <c r="CC115" s="52">
        <f>BW115</f>
        <v>136.99999999999997</v>
      </c>
      <c r="CD115" s="52">
        <f>BX115</f>
        <v>121.99999999999997</v>
      </c>
      <c r="CE115" s="200"/>
      <c r="CF115" s="495"/>
    </row>
    <row r="116" spans="56:84" ht="16.5" customHeight="1" x14ac:dyDescent="0.2">
      <c r="BD116" s="492"/>
      <c r="BE116" s="23"/>
      <c r="BF116" s="200"/>
      <c r="BG116" s="200"/>
      <c r="BH116" s="200"/>
      <c r="BI116" s="200"/>
      <c r="BJ116" s="52"/>
      <c r="BK116" s="204" t="str">
        <f t="shared" si="363"/>
        <v/>
      </c>
      <c r="BL116" s="200"/>
      <c r="BM116" s="200"/>
      <c r="BN116" s="200"/>
      <c r="BO116" s="200"/>
      <c r="BP116" s="200"/>
      <c r="BQ116" s="495"/>
      <c r="BS116" s="492"/>
      <c r="BT116" s="23"/>
      <c r="BU116" s="200"/>
      <c r="BV116" s="213"/>
      <c r="BW116" s="200"/>
      <c r="BX116" s="200"/>
      <c r="BY116" s="52"/>
      <c r="BZ116" s="204" t="str">
        <f t="shared" si="364"/>
        <v/>
      </c>
      <c r="CA116" s="200"/>
      <c r="CB116" s="200"/>
      <c r="CC116" s="200"/>
      <c r="CD116" s="200"/>
      <c r="CE116" s="200"/>
      <c r="CF116" s="495"/>
    </row>
    <row r="117" spans="56:84" ht="16.5" customHeight="1" x14ac:dyDescent="0.2">
      <c r="BD117" s="492"/>
      <c r="BE117" s="199" t="s">
        <v>33</v>
      </c>
      <c r="BF117" s="48">
        <f>BF13</f>
        <v>158</v>
      </c>
      <c r="BG117" s="48">
        <f>AU13</f>
        <v>144</v>
      </c>
      <c r="BH117" s="200"/>
      <c r="BI117" s="200"/>
      <c r="BJ117" s="52">
        <f t="shared" ref="BJ117" si="365">BF117-BG117</f>
        <v>14</v>
      </c>
      <c r="BK117" s="16" t="str">
        <f>IF(BG117=BI118,"",IF(BI118&gt;BG117,CONCATENATE($A$3,TEXT((BI118-BG117),"##")),TEXT((BI118-BG117),"##")))</f>
        <v/>
      </c>
      <c r="BL117" s="52">
        <f>BF117</f>
        <v>158</v>
      </c>
      <c r="BM117" s="52">
        <f>BG117</f>
        <v>144</v>
      </c>
      <c r="BN117" s="200"/>
      <c r="BO117" s="200"/>
      <c r="BP117" s="16" t="str">
        <f>IF(BL117=BN118,"",IF(BN118&gt;BL117,CONCATENATE($A$1,TEXT(((BN118-BL117)/BL117),"##%")),CONCATENATE($A$2,TEXT(((BN118-BL117)/BL117),"##%"))))</f>
        <v/>
      </c>
      <c r="BQ117" s="495"/>
      <c r="BS117" s="492"/>
      <c r="BT117" s="199" t="s">
        <v>33</v>
      </c>
      <c r="BU117" s="48">
        <f>BU13</f>
        <v>158</v>
      </c>
      <c r="BV117" s="48">
        <f t="shared" ref="BV117:BV123" si="366">BG117</f>
        <v>144</v>
      </c>
      <c r="BW117" s="200"/>
      <c r="BX117" s="200"/>
      <c r="BY117" s="52">
        <f t="shared" ref="BY117" si="367">IF(BU117-BV117=0,"",BU117-BV117)</f>
        <v>14</v>
      </c>
      <c r="BZ117" s="16" t="str">
        <f>IF(BV117=BX118,"",IF(BX118&gt;BV117,CONCATENATE($A$3,TEXT((BX118-BV117),"##")),TEXT((BX118-BV117),"##")))</f>
        <v/>
      </c>
      <c r="CA117" s="52">
        <f>BU117</f>
        <v>158</v>
      </c>
      <c r="CB117" s="52">
        <f>BV117</f>
        <v>144</v>
      </c>
      <c r="CC117" s="200"/>
      <c r="CD117" s="200"/>
      <c r="CE117" s="16" t="str">
        <f>IF(CB117=CD118,"",IF(CD118&gt;CB117,CONCATENATE($A$1,TEXT(((CD118-CB117)/CB117),"##%")),CONCATENATE($A$2,TEXT(((CD118-CB117)/CB117),"##%"))))</f>
        <v/>
      </c>
      <c r="CF117" s="495"/>
    </row>
    <row r="118" spans="56:84" ht="16.5" customHeight="1" x14ac:dyDescent="0.2">
      <c r="BD118" s="492"/>
      <c r="BE118" s="199"/>
      <c r="BF118" s="200"/>
      <c r="BG118" s="200"/>
      <c r="BH118" s="48">
        <f>BO13</f>
        <v>158.00000000000003</v>
      </c>
      <c r="BI118" s="48">
        <f>BP13</f>
        <v>144.00000000000003</v>
      </c>
      <c r="BJ118" s="52">
        <f t="shared" ref="BJ118" si="368">BH118-BI118</f>
        <v>14</v>
      </c>
      <c r="BK118" s="204" t="str">
        <f t="shared" ref="BK118:BK123" si="369">IF(BG118=BI119,"",IF(BI119&gt;BG118,CONCATENATE($A$3,TEXT((BI119-BG118),"##")),TEXT((BI119-BG118),"##")))</f>
        <v/>
      </c>
      <c r="BL118" s="200"/>
      <c r="BM118" s="200"/>
      <c r="BN118" s="52">
        <f>BH118</f>
        <v>158.00000000000003</v>
      </c>
      <c r="BO118" s="52">
        <f>BI118</f>
        <v>144.00000000000003</v>
      </c>
      <c r="BP118" s="200"/>
      <c r="BQ118" s="495"/>
      <c r="BS118" s="492"/>
      <c r="BT118" s="199"/>
      <c r="BU118" s="200"/>
      <c r="BV118" s="213"/>
      <c r="BW118" s="48">
        <f>CD13</f>
        <v>158.00000000000003</v>
      </c>
      <c r="BX118" s="48">
        <f>CE13</f>
        <v>144.00000000000003</v>
      </c>
      <c r="BY118" s="52">
        <f t="shared" ref="BY118" si="370">IF(BW118-BX118=0,"",BW118-BX118)</f>
        <v>14</v>
      </c>
      <c r="BZ118" s="204" t="str">
        <f t="shared" ref="BZ118:BZ123" si="371">IF(BV118=BX119,"",IF(BX119&gt;BV118,CONCATENATE($A$3,TEXT((BX119-BV118),"##")),TEXT((BX119-BV118),"##")))</f>
        <v/>
      </c>
      <c r="CA118" s="200"/>
      <c r="CB118" s="200"/>
      <c r="CC118" s="52">
        <f>BW118</f>
        <v>158.00000000000003</v>
      </c>
      <c r="CD118" s="52">
        <f>BX118</f>
        <v>144.00000000000003</v>
      </c>
      <c r="CE118" s="200"/>
      <c r="CF118" s="495"/>
    </row>
    <row r="119" spans="56:84" ht="16.5" customHeight="1" x14ac:dyDescent="0.2">
      <c r="BD119" s="492"/>
      <c r="BF119" s="201"/>
      <c r="BG119" s="201"/>
      <c r="BH119" s="201"/>
      <c r="BI119" s="201"/>
      <c r="BJ119" s="52"/>
      <c r="BK119" s="204" t="str">
        <f t="shared" si="369"/>
        <v/>
      </c>
      <c r="BL119" s="201"/>
      <c r="BM119" s="201"/>
      <c r="BN119" s="201"/>
      <c r="BO119" s="201"/>
      <c r="BP119" s="201"/>
      <c r="BQ119" s="495"/>
      <c r="BS119" s="492"/>
      <c r="BU119" s="201"/>
      <c r="BV119" s="213"/>
      <c r="BW119" s="201"/>
      <c r="BX119" s="201"/>
      <c r="BY119" s="52"/>
      <c r="BZ119" s="204" t="str">
        <f t="shared" si="371"/>
        <v/>
      </c>
      <c r="CA119" s="201"/>
      <c r="CB119" s="201"/>
      <c r="CC119" s="201"/>
      <c r="CD119" s="201"/>
      <c r="CE119" s="201"/>
      <c r="CF119" s="495"/>
    </row>
    <row r="120" spans="56:84" ht="16.5" customHeight="1" x14ac:dyDescent="0.2">
      <c r="BD120" s="492"/>
      <c r="BE120" s="199" t="s">
        <v>54</v>
      </c>
      <c r="BF120" s="48">
        <f>BF14</f>
        <v>235</v>
      </c>
      <c r="BG120" s="48">
        <f>AU14</f>
        <v>226</v>
      </c>
      <c r="BH120" s="200"/>
      <c r="BI120" s="200"/>
      <c r="BJ120" s="52">
        <f t="shared" ref="BJ120" si="372">BF120-BG120</f>
        <v>9</v>
      </c>
      <c r="BK120" s="16" t="str">
        <f t="shared" si="369"/>
        <v/>
      </c>
      <c r="BL120" s="52">
        <f>BF120</f>
        <v>235</v>
      </c>
      <c r="BM120" s="52">
        <f>BG120</f>
        <v>226</v>
      </c>
      <c r="BN120" s="200"/>
      <c r="BO120" s="200"/>
      <c r="BP120" s="16" t="str">
        <f>IF(BL120=BN121,"",IF(BN121&gt;BL120,CONCATENATE($A$1,TEXT(((BN121-BL120)/BL120),"##%")),CONCATENATE($A$2,TEXT(((BN121-BL120)/BL120),"##%"))))</f>
        <v/>
      </c>
      <c r="BQ120" s="495"/>
      <c r="BS120" s="492"/>
      <c r="BT120" s="199" t="s">
        <v>54</v>
      </c>
      <c r="BU120" s="48">
        <f>BU14</f>
        <v>235</v>
      </c>
      <c r="BV120" s="48">
        <f t="shared" si="366"/>
        <v>226</v>
      </c>
      <c r="BW120" s="200"/>
      <c r="BX120" s="200"/>
      <c r="BY120" s="52">
        <f t="shared" ref="BY120" si="373">IF(BU120-BV120=0,"",BU120-BV120)</f>
        <v>9</v>
      </c>
      <c r="BZ120" s="16" t="str">
        <f t="shared" si="371"/>
        <v/>
      </c>
      <c r="CA120" s="52">
        <f>BU120</f>
        <v>235</v>
      </c>
      <c r="CB120" s="52">
        <f>BV120</f>
        <v>226</v>
      </c>
      <c r="CC120" s="200"/>
      <c r="CD120" s="200"/>
      <c r="CE120" s="16" t="str">
        <f>IF(CB120=CD121,"",IF(CD121&gt;CB120,CONCATENATE($A$1,TEXT(((CD121-CB120)/CB120),"##%")),CONCATENATE($A$2,TEXT(((CD121-CB120)/CB120),"##%"))))</f>
        <v/>
      </c>
      <c r="CF120" s="495"/>
    </row>
    <row r="121" spans="56:84" ht="16.5" customHeight="1" x14ac:dyDescent="0.2">
      <c r="BD121" s="492"/>
      <c r="BE121" s="199"/>
      <c r="BF121" s="201"/>
      <c r="BG121" s="201"/>
      <c r="BH121" s="48">
        <f>BO14</f>
        <v>235</v>
      </c>
      <c r="BI121" s="48">
        <f>BP14</f>
        <v>226</v>
      </c>
      <c r="BJ121" s="52">
        <f t="shared" ref="BJ121" si="374">BH121-BI121</f>
        <v>9</v>
      </c>
      <c r="BK121" s="204" t="str">
        <f t="shared" si="369"/>
        <v/>
      </c>
      <c r="BL121" s="201"/>
      <c r="BM121" s="201"/>
      <c r="BN121" s="52">
        <f>BH121</f>
        <v>235</v>
      </c>
      <c r="BO121" s="52">
        <f>BI121</f>
        <v>226</v>
      </c>
      <c r="BP121" s="201"/>
      <c r="BQ121" s="495"/>
      <c r="BS121" s="492"/>
      <c r="BT121" s="199"/>
      <c r="BU121" s="201"/>
      <c r="BV121" s="213"/>
      <c r="BW121" s="48">
        <f>CD14</f>
        <v>235</v>
      </c>
      <c r="BX121" s="48">
        <f>CE14</f>
        <v>226</v>
      </c>
      <c r="BY121" s="52">
        <f t="shared" ref="BY121" si="375">IF(BW121-BX121=0,"",BW121-BX121)</f>
        <v>9</v>
      </c>
      <c r="BZ121" s="204" t="str">
        <f t="shared" si="371"/>
        <v/>
      </c>
      <c r="CA121" s="201"/>
      <c r="CB121" s="201"/>
      <c r="CC121" s="52">
        <f>BW121</f>
        <v>235</v>
      </c>
      <c r="CD121" s="52">
        <f>BX121</f>
        <v>226</v>
      </c>
      <c r="CE121" s="201"/>
      <c r="CF121" s="495"/>
    </row>
    <row r="122" spans="56:84" ht="16.5" customHeight="1" x14ac:dyDescent="0.2">
      <c r="BD122" s="492"/>
      <c r="BF122" s="201"/>
      <c r="BG122" s="201"/>
      <c r="BH122" s="201"/>
      <c r="BI122" s="201"/>
      <c r="BJ122" s="52"/>
      <c r="BK122" s="204" t="str">
        <f t="shared" si="369"/>
        <v/>
      </c>
      <c r="BL122" s="201"/>
      <c r="BM122" s="201"/>
      <c r="BN122" s="201"/>
      <c r="BO122" s="201"/>
      <c r="BP122" s="201"/>
      <c r="BQ122" s="495"/>
      <c r="BS122" s="492"/>
      <c r="BU122" s="201"/>
      <c r="BV122" s="213"/>
      <c r="BW122" s="201"/>
      <c r="BX122" s="201"/>
      <c r="BY122" s="52"/>
      <c r="BZ122" s="204" t="str">
        <f t="shared" si="371"/>
        <v/>
      </c>
      <c r="CA122" s="201"/>
      <c r="CB122" s="201"/>
      <c r="CC122" s="201"/>
      <c r="CD122" s="201"/>
      <c r="CE122" s="201"/>
      <c r="CF122" s="495"/>
    </row>
    <row r="123" spans="56:84" ht="16.5" customHeight="1" x14ac:dyDescent="0.2">
      <c r="BD123" s="492"/>
      <c r="BE123" s="47" t="s">
        <v>118</v>
      </c>
      <c r="BF123" s="48">
        <f>BF114+BF117+BF120</f>
        <v>530</v>
      </c>
      <c r="BG123" s="48">
        <f>BG114+BG117+BG120</f>
        <v>492</v>
      </c>
      <c r="BH123" s="201"/>
      <c r="BI123" s="201"/>
      <c r="BJ123" s="52">
        <f t="shared" ref="BJ123" si="376">BF123-BG123</f>
        <v>38</v>
      </c>
      <c r="BK123" s="16" t="str">
        <f t="shared" si="369"/>
        <v/>
      </c>
      <c r="BL123" s="52">
        <f>BF123</f>
        <v>530</v>
      </c>
      <c r="BM123" s="52">
        <f>BG123</f>
        <v>492</v>
      </c>
      <c r="BN123" s="201"/>
      <c r="BO123" s="201"/>
      <c r="BP123" s="16" t="str">
        <f>IF(BL123=BN124,"",IF(BN124&gt;BL123,CONCATENATE($A$1,TEXT(((BN124-BL123)/BL123),"##%")),CONCATENATE($A$2,TEXT(((BN124-BL123)/BL123),"##%"))))</f>
        <v/>
      </c>
      <c r="BQ123" s="495"/>
      <c r="BS123" s="492"/>
      <c r="BT123" s="47" t="s">
        <v>118</v>
      </c>
      <c r="BU123" s="48">
        <f>BU114+BU117+BU120</f>
        <v>530</v>
      </c>
      <c r="BV123" s="48">
        <f t="shared" si="366"/>
        <v>492</v>
      </c>
      <c r="BW123" s="201"/>
      <c r="BX123" s="201"/>
      <c r="BY123" s="52">
        <f t="shared" ref="BY123" si="377">IF(BU123-BV123=0,"",BU123-BV123)</f>
        <v>38</v>
      </c>
      <c r="BZ123" s="16" t="str">
        <f t="shared" si="371"/>
        <v/>
      </c>
      <c r="CA123" s="52">
        <f>BU123</f>
        <v>530</v>
      </c>
      <c r="CB123" s="52">
        <f>BV123</f>
        <v>492</v>
      </c>
      <c r="CC123" s="201"/>
      <c r="CD123" s="201"/>
      <c r="CE123" s="16" t="str">
        <f>IF(CB123=CD124,"",IF(CD124&gt;CB123,CONCATENATE($A$1,TEXT(((CD124-CB123)/CB123),"##%")),CONCATENATE($A$2,TEXT(((CD124-CB123)/CB123),"##%"))))</f>
        <v/>
      </c>
      <c r="CF123" s="495"/>
    </row>
    <row r="124" spans="56:84" ht="16.5" customHeight="1" x14ac:dyDescent="0.2">
      <c r="BD124" s="493"/>
      <c r="BE124" s="199"/>
      <c r="BF124" s="201"/>
      <c r="BG124" s="201"/>
      <c r="BH124" s="48">
        <f>SUM(BH115:BH121)</f>
        <v>530</v>
      </c>
      <c r="BI124" s="48">
        <f>SUM(BI115:BI121)</f>
        <v>492</v>
      </c>
      <c r="BJ124" s="52">
        <f t="shared" ref="BJ124" si="378">BH124-BI124</f>
        <v>38</v>
      </c>
      <c r="BK124" s="201"/>
      <c r="BL124" s="201"/>
      <c r="BM124" s="201"/>
      <c r="BN124" s="52">
        <f>BH124</f>
        <v>530</v>
      </c>
      <c r="BO124" s="52">
        <f>BI124</f>
        <v>492</v>
      </c>
      <c r="BP124" s="201"/>
      <c r="BQ124" s="496"/>
      <c r="BS124" s="493"/>
      <c r="BT124" s="199"/>
      <c r="BU124" s="201"/>
      <c r="BV124" s="201"/>
      <c r="BW124" s="48">
        <f>SUM(BW115:BW121)</f>
        <v>530</v>
      </c>
      <c r="BX124" s="48">
        <f>SUM(BX115:BX121)</f>
        <v>492</v>
      </c>
      <c r="BY124" s="52">
        <f t="shared" ref="BY124" si="379">IF(BW124-BX124=0,"",BW124-BX124)</f>
        <v>38</v>
      </c>
      <c r="BZ124" s="201"/>
      <c r="CA124" s="201"/>
      <c r="CB124" s="201"/>
      <c r="CC124" s="52">
        <f>BW124</f>
        <v>530</v>
      </c>
      <c r="CD124" s="52">
        <f>BX124</f>
        <v>492</v>
      </c>
      <c r="CE124" s="201"/>
      <c r="CF124" s="496"/>
    </row>
    <row r="126" spans="56:84" ht="16.5" customHeight="1" x14ac:dyDescent="0.2">
      <c r="BD126" s="23"/>
      <c r="BE126" s="37"/>
      <c r="BF126"/>
      <c r="BG126" s="23"/>
      <c r="BH126"/>
      <c r="BI126" s="23"/>
      <c r="BJ126" s="23"/>
      <c r="BK126" s="23"/>
      <c r="BL126" s="483" t="s">
        <v>84</v>
      </c>
      <c r="BM126" s="490"/>
      <c r="BN126" s="490"/>
      <c r="BO126" s="490"/>
      <c r="BP126" s="484"/>
      <c r="BQ126"/>
      <c r="BS126" s="23"/>
      <c r="BT126" s="37"/>
      <c r="BU126"/>
      <c r="BV126" s="23"/>
      <c r="BW126"/>
      <c r="BX126" s="23"/>
      <c r="BY126" s="23"/>
      <c r="BZ126" s="23"/>
      <c r="CA126" s="483" t="s">
        <v>84</v>
      </c>
      <c r="CB126" s="490"/>
      <c r="CC126" s="490"/>
      <c r="CD126" s="490"/>
      <c r="CE126" s="484"/>
    </row>
    <row r="127" spans="56:84" ht="16.5" customHeight="1" x14ac:dyDescent="0.2">
      <c r="BD127" s="23"/>
      <c r="BE127" s="6"/>
      <c r="BF127" s="35" t="s">
        <v>109</v>
      </c>
      <c r="BG127" s="35" t="s">
        <v>111</v>
      </c>
      <c r="BH127" s="35" t="s">
        <v>110</v>
      </c>
      <c r="BI127" s="35" t="s">
        <v>112</v>
      </c>
      <c r="BJ127" s="35" t="s">
        <v>113</v>
      </c>
      <c r="BK127" s="43" t="s">
        <v>55</v>
      </c>
      <c r="BL127" s="35" t="s">
        <v>109</v>
      </c>
      <c r="BM127" s="35" t="s">
        <v>111</v>
      </c>
      <c r="BN127" s="35" t="s">
        <v>110</v>
      </c>
      <c r="BO127" s="35" t="s">
        <v>112</v>
      </c>
      <c r="BP127" s="43" t="s">
        <v>55</v>
      </c>
      <c r="BQ127"/>
      <c r="BS127" s="23"/>
      <c r="BT127" s="246" t="str">
        <f>IF(BZ91="","","Returns not input; no current or new returns shown.  To see impact of rate of return, input returns in Program Input tab.")</f>
        <v/>
      </c>
      <c r="BU127" s="35" t="s">
        <v>109</v>
      </c>
      <c r="BV127" s="35" t="s">
        <v>111</v>
      </c>
      <c r="BW127" s="35" t="s">
        <v>110</v>
      </c>
      <c r="BX127" s="35" t="s">
        <v>112</v>
      </c>
      <c r="BY127" s="35" t="s">
        <v>113</v>
      </c>
      <c r="BZ127" s="43" t="s">
        <v>55</v>
      </c>
      <c r="CA127" s="35" t="s">
        <v>109</v>
      </c>
      <c r="CB127" s="35" t="s">
        <v>111</v>
      </c>
      <c r="CC127" s="35" t="s">
        <v>110</v>
      </c>
      <c r="CD127" s="35" t="s">
        <v>112</v>
      </c>
      <c r="CE127" s="43" t="s">
        <v>55</v>
      </c>
    </row>
    <row r="128" spans="56:84" ht="16.5" customHeight="1" x14ac:dyDescent="0.2">
      <c r="BD128" s="23"/>
      <c r="BE128" s="23"/>
      <c r="BF128" s="23"/>
      <c r="BG128" s="23"/>
      <c r="BH128" s="23"/>
      <c r="BI128" s="23"/>
      <c r="BJ128" s="23"/>
      <c r="BK128" s="23"/>
      <c r="BL128" s="23"/>
      <c r="BM128" s="23"/>
      <c r="BN128" s="23"/>
      <c r="BO128" s="23"/>
      <c r="BP128" s="23"/>
      <c r="BQ128" s="23"/>
      <c r="BS128" s="23"/>
      <c r="BT128" s="23"/>
      <c r="BU128" s="23"/>
      <c r="BV128" s="23"/>
      <c r="BW128" s="23"/>
      <c r="BX128" s="23"/>
      <c r="BY128" s="23"/>
      <c r="BZ128" s="23"/>
      <c r="CA128" s="23"/>
      <c r="CB128" s="23"/>
      <c r="CC128" s="23"/>
      <c r="CD128" s="23"/>
      <c r="CE128" s="23"/>
    </row>
    <row r="129" spans="56:84" ht="16.5" customHeight="1" x14ac:dyDescent="0.2">
      <c r="BD129" s="491" t="s">
        <v>206</v>
      </c>
      <c r="BE129" s="199" t="s">
        <v>32</v>
      </c>
      <c r="BF129" s="48">
        <f>BF19</f>
        <v>402</v>
      </c>
      <c r="BG129" s="48">
        <f>AU19</f>
        <v>348</v>
      </c>
      <c r="BH129" s="200"/>
      <c r="BI129" s="200"/>
      <c r="BJ129" s="52">
        <f>BF129-BG129</f>
        <v>54</v>
      </c>
      <c r="BK129" s="16" t="str">
        <f t="shared" ref="BK129:BK131" si="380">IF(BG129=BI130,"",IF(BI130&gt;BG129,CONCATENATE($A$3,TEXT((BI130-BG129),"##")),TEXT((BI130-BG129),"##")))</f>
        <v/>
      </c>
      <c r="BL129" s="52">
        <f>BF129</f>
        <v>402</v>
      </c>
      <c r="BM129" s="52">
        <f>BG129</f>
        <v>348</v>
      </c>
      <c r="BN129" s="200"/>
      <c r="BO129" s="200"/>
      <c r="BP129" s="16" t="str">
        <f>IF(BL129=BN130,"",IF(BN130&gt;BL129,CONCATENATE($A$1,TEXT(((BN130-BL129)/BL129),"##%")),CONCATENATE($A$2,TEXT(((BN130-BL129)/BL129),"##%"))))</f>
        <v/>
      </c>
      <c r="BQ129" s="494" t="str">
        <f>IF(BP138="","",CONCATENATE("Overall ",BP138))</f>
        <v/>
      </c>
      <c r="BS129" s="491" t="s">
        <v>216</v>
      </c>
      <c r="BT129" s="199" t="s">
        <v>32</v>
      </c>
      <c r="BU129" s="48">
        <f>BU19</f>
        <v>402</v>
      </c>
      <c r="BV129" s="48">
        <f>BG129</f>
        <v>348</v>
      </c>
      <c r="BW129" s="200"/>
      <c r="BX129" s="200"/>
      <c r="BY129" s="52">
        <f>IF(BU129-BV129=0,"",BU129-BV129)</f>
        <v>54</v>
      </c>
      <c r="BZ129" s="16" t="str">
        <f t="shared" ref="BZ129:BZ131" si="381">IF(BV129=BX130,"",IF(BX130&gt;BV129,CONCATENATE($A$3,TEXT((BX130-BV129),"##")),TEXT((BX130-BV129),"##")))</f>
        <v/>
      </c>
      <c r="CA129" s="52">
        <f>BU129</f>
        <v>402</v>
      </c>
      <c r="CB129" s="52">
        <f>BV129</f>
        <v>348</v>
      </c>
      <c r="CC129" s="200"/>
      <c r="CD129" s="200"/>
      <c r="CE129" s="16" t="str">
        <f>IF(CB129=CD130,"",IF(CD130&gt;CB129,CONCATENATE($A$1,TEXT(((CD130-CB129)/CB129),"##%")),CONCATENATE($A$2,TEXT(((CD130-CB129)/CB129),"##%"))))</f>
        <v/>
      </c>
      <c r="CF129" s="494" t="str">
        <f>IF(CE138="","",CONCATENATE("Overall ",CE138))</f>
        <v/>
      </c>
    </row>
    <row r="130" spans="56:84" ht="16.5" customHeight="1" x14ac:dyDescent="0.2">
      <c r="BD130" s="492"/>
      <c r="BE130" s="199"/>
      <c r="BF130" s="200"/>
      <c r="BG130" s="200"/>
      <c r="BH130" s="48">
        <f>BO19</f>
        <v>402</v>
      </c>
      <c r="BI130" s="48">
        <f>BP19</f>
        <v>348</v>
      </c>
      <c r="BJ130" s="52">
        <f>BH130-BI130</f>
        <v>54</v>
      </c>
      <c r="BK130" s="204" t="str">
        <f t="shared" si="380"/>
        <v/>
      </c>
      <c r="BL130" s="200"/>
      <c r="BM130" s="200"/>
      <c r="BN130" s="52">
        <f>BH130</f>
        <v>402</v>
      </c>
      <c r="BO130" s="52">
        <f>BI130</f>
        <v>348</v>
      </c>
      <c r="BP130" s="200"/>
      <c r="BQ130" s="495"/>
      <c r="BS130" s="492"/>
      <c r="BT130" s="199"/>
      <c r="BU130" s="200"/>
      <c r="BV130" s="213"/>
      <c r="BW130" s="48">
        <f>CD19</f>
        <v>402</v>
      </c>
      <c r="BX130" s="48">
        <f>CE19</f>
        <v>348</v>
      </c>
      <c r="BY130" s="52">
        <f>IF(BW130-BX130=0,"",BW130-BX130)</f>
        <v>54</v>
      </c>
      <c r="BZ130" s="204" t="str">
        <f t="shared" si="381"/>
        <v/>
      </c>
      <c r="CA130" s="200"/>
      <c r="CB130" s="200"/>
      <c r="CC130" s="52">
        <f>BW130</f>
        <v>402</v>
      </c>
      <c r="CD130" s="52">
        <f>BX130</f>
        <v>348</v>
      </c>
      <c r="CE130" s="200"/>
      <c r="CF130" s="495"/>
    </row>
    <row r="131" spans="56:84" ht="16.5" customHeight="1" x14ac:dyDescent="0.2">
      <c r="BD131" s="492"/>
      <c r="BE131" s="23"/>
      <c r="BF131" s="200"/>
      <c r="BG131" s="200"/>
      <c r="BH131" s="200"/>
      <c r="BI131" s="200"/>
      <c r="BJ131" s="52"/>
      <c r="BK131" s="204" t="str">
        <f t="shared" si="380"/>
        <v/>
      </c>
      <c r="BL131" s="200"/>
      <c r="BM131" s="200"/>
      <c r="BN131" s="200"/>
      <c r="BO131" s="200"/>
      <c r="BP131" s="200"/>
      <c r="BQ131" s="495"/>
      <c r="BS131" s="492"/>
      <c r="BT131" s="23"/>
      <c r="BU131" s="200"/>
      <c r="BV131" s="213"/>
      <c r="BW131" s="200"/>
      <c r="BX131" s="200"/>
      <c r="BY131" s="52"/>
      <c r="BZ131" s="204" t="str">
        <f t="shared" si="381"/>
        <v/>
      </c>
      <c r="CA131" s="200"/>
      <c r="CB131" s="200"/>
      <c r="CC131" s="200"/>
      <c r="CD131" s="200"/>
      <c r="CE131" s="200"/>
      <c r="CF131" s="495"/>
    </row>
    <row r="132" spans="56:84" ht="16.5" customHeight="1" x14ac:dyDescent="0.2">
      <c r="BD132" s="492"/>
      <c r="BE132" s="199" t="s">
        <v>33</v>
      </c>
      <c r="BF132" s="48">
        <f>BF20</f>
        <v>256</v>
      </c>
      <c r="BG132" s="48">
        <f>AU20</f>
        <v>235</v>
      </c>
      <c r="BH132" s="200"/>
      <c r="BI132" s="200"/>
      <c r="BJ132" s="52">
        <f t="shared" ref="BJ132" si="382">BF132-BG132</f>
        <v>21</v>
      </c>
      <c r="BK132" s="16" t="str">
        <f>IF(BG132=BI133,"",IF(BI133&gt;BG132,CONCATENATE($A$3,TEXT((BI133-BG132),"##")),TEXT((BI133-BG132),"##")))</f>
        <v/>
      </c>
      <c r="BL132" s="52">
        <f>BF132</f>
        <v>256</v>
      </c>
      <c r="BM132" s="52">
        <f>BG132</f>
        <v>235</v>
      </c>
      <c r="BN132" s="200"/>
      <c r="BO132" s="200"/>
      <c r="BP132" s="16" t="str">
        <f>IF(BL132=BN133,"",IF(BN133&gt;BL132,CONCATENATE($A$1,TEXT(((BN133-BL132)/BL132),"##%")),CONCATENATE($A$2,TEXT(((BN133-BL132)/BL132),"##%"))))</f>
        <v/>
      </c>
      <c r="BQ132" s="495"/>
      <c r="BS132" s="492"/>
      <c r="BT132" s="199" t="s">
        <v>33</v>
      </c>
      <c r="BU132" s="48">
        <f>BU20</f>
        <v>256</v>
      </c>
      <c r="BV132" s="48">
        <f t="shared" ref="BV132:BV138" si="383">BG132</f>
        <v>235</v>
      </c>
      <c r="BW132" s="200"/>
      <c r="BX132" s="200"/>
      <c r="BY132" s="52">
        <f t="shared" ref="BY132" si="384">IF(BU132-BV132=0,"",BU132-BV132)</f>
        <v>21</v>
      </c>
      <c r="BZ132" s="16" t="str">
        <f>IF(BV132=BX133,"",IF(BX133&gt;BV132,CONCATENATE($A$3,TEXT((BX133-BV132),"##")),TEXT((BX133-BV132),"##")))</f>
        <v/>
      </c>
      <c r="CA132" s="52">
        <f>BU132</f>
        <v>256</v>
      </c>
      <c r="CB132" s="52">
        <f>BV132</f>
        <v>235</v>
      </c>
      <c r="CC132" s="200"/>
      <c r="CD132" s="200"/>
      <c r="CE132" s="16" t="str">
        <f>IF(CB132=CD133,"",IF(CD133&gt;CB132,CONCATENATE($A$1,TEXT(((CD133-CB132)/CB132),"##%")),CONCATENATE($A$2,TEXT(((CD133-CB132)/CB132),"##%"))))</f>
        <v/>
      </c>
      <c r="CF132" s="495"/>
    </row>
    <row r="133" spans="56:84" ht="16.5" customHeight="1" x14ac:dyDescent="0.2">
      <c r="BD133" s="492"/>
      <c r="BE133" s="199"/>
      <c r="BF133" s="200"/>
      <c r="BG133" s="200"/>
      <c r="BH133" s="48">
        <f>BO20</f>
        <v>256</v>
      </c>
      <c r="BI133" s="48">
        <f>BP20</f>
        <v>235</v>
      </c>
      <c r="BJ133" s="52">
        <f t="shared" ref="BJ133" si="385">BH133-BI133</f>
        <v>21</v>
      </c>
      <c r="BK133" s="204" t="str">
        <f t="shared" ref="BK133:BK138" si="386">IF(BG133=BI134,"",IF(BI134&gt;BG133,CONCATENATE($A$3,TEXT((BI134-BG133),"##")),TEXT((BI134-BG133),"##")))</f>
        <v/>
      </c>
      <c r="BL133" s="200"/>
      <c r="BM133" s="200"/>
      <c r="BN133" s="52">
        <f>BH133</f>
        <v>256</v>
      </c>
      <c r="BO133" s="52">
        <f>BI133</f>
        <v>235</v>
      </c>
      <c r="BP133" s="200"/>
      <c r="BQ133" s="495"/>
      <c r="BS133" s="492"/>
      <c r="BT133" s="199"/>
      <c r="BU133" s="200"/>
      <c r="BV133" s="213"/>
      <c r="BW133" s="48">
        <f>CD20</f>
        <v>256</v>
      </c>
      <c r="BX133" s="48">
        <f>CE20</f>
        <v>235</v>
      </c>
      <c r="BY133" s="52">
        <f t="shared" ref="BY133" si="387">IF(BW133-BX133=0,"",BW133-BX133)</f>
        <v>21</v>
      </c>
      <c r="BZ133" s="204" t="str">
        <f t="shared" ref="BZ133:BZ138" si="388">IF(BV133=BX134,"",IF(BX134&gt;BV133,CONCATENATE($A$3,TEXT((BX134-BV133),"##")),TEXT((BX134-BV133),"##")))</f>
        <v/>
      </c>
      <c r="CA133" s="200"/>
      <c r="CB133" s="200"/>
      <c r="CC133" s="52">
        <f>BW133</f>
        <v>256</v>
      </c>
      <c r="CD133" s="52">
        <f>BX133</f>
        <v>235</v>
      </c>
      <c r="CE133" s="200"/>
      <c r="CF133" s="495"/>
    </row>
    <row r="134" spans="56:84" ht="16.5" customHeight="1" x14ac:dyDescent="0.2">
      <c r="BD134" s="492"/>
      <c r="BF134" s="201"/>
      <c r="BG134" s="201"/>
      <c r="BH134" s="201"/>
      <c r="BI134" s="201"/>
      <c r="BJ134" s="52"/>
      <c r="BK134" s="204" t="str">
        <f t="shared" si="386"/>
        <v/>
      </c>
      <c r="BL134" s="201"/>
      <c r="BM134" s="201"/>
      <c r="BN134" s="201"/>
      <c r="BO134" s="201"/>
      <c r="BP134" s="201"/>
      <c r="BQ134" s="495"/>
      <c r="BS134" s="492"/>
      <c r="BU134" s="201"/>
      <c r="BV134" s="213"/>
      <c r="BW134" s="201"/>
      <c r="BX134" s="201"/>
      <c r="BY134" s="52"/>
      <c r="BZ134" s="204" t="str">
        <f t="shared" si="388"/>
        <v/>
      </c>
      <c r="CA134" s="201"/>
      <c r="CB134" s="201"/>
      <c r="CC134" s="201"/>
      <c r="CD134" s="201"/>
      <c r="CE134" s="201"/>
      <c r="CF134" s="495"/>
    </row>
    <row r="135" spans="56:84" ht="16.5" customHeight="1" x14ac:dyDescent="0.2">
      <c r="BD135" s="492"/>
      <c r="BE135" s="199" t="s">
        <v>54</v>
      </c>
      <c r="BF135" s="48">
        <f>BF21</f>
        <v>347</v>
      </c>
      <c r="BG135" s="48">
        <f>AU21</f>
        <v>328</v>
      </c>
      <c r="BH135" s="200"/>
      <c r="BI135" s="200"/>
      <c r="BJ135" s="52">
        <f t="shared" ref="BJ135" si="389">BF135-BG135</f>
        <v>19</v>
      </c>
      <c r="BK135" s="16" t="str">
        <f t="shared" si="386"/>
        <v/>
      </c>
      <c r="BL135" s="52">
        <f>BF135</f>
        <v>347</v>
      </c>
      <c r="BM135" s="52">
        <f>BG135</f>
        <v>328</v>
      </c>
      <c r="BN135" s="200"/>
      <c r="BO135" s="200"/>
      <c r="BP135" s="16" t="str">
        <f>IF(BL135=BN136,"",IF(BN136&gt;BL135,CONCATENATE($A$1,TEXT(((BN136-BL135)/BL135),"##%")),CONCATENATE($A$2,TEXT(((BN136-BL135)/BL135),"##%"))))</f>
        <v/>
      </c>
      <c r="BQ135" s="495"/>
      <c r="BS135" s="492"/>
      <c r="BT135" s="199" t="s">
        <v>54</v>
      </c>
      <c r="BU135" s="48">
        <f>BU21</f>
        <v>347</v>
      </c>
      <c r="BV135" s="48">
        <f t="shared" si="383"/>
        <v>328</v>
      </c>
      <c r="BW135" s="200"/>
      <c r="BX135" s="200"/>
      <c r="BY135" s="52">
        <f t="shared" ref="BY135" si="390">IF(BU135-BV135=0,"",BU135-BV135)</f>
        <v>19</v>
      </c>
      <c r="BZ135" s="16" t="str">
        <f t="shared" si="388"/>
        <v/>
      </c>
      <c r="CA135" s="52">
        <f>BU135</f>
        <v>347</v>
      </c>
      <c r="CB135" s="52">
        <f>BV135</f>
        <v>328</v>
      </c>
      <c r="CC135" s="200"/>
      <c r="CD135" s="200"/>
      <c r="CE135" s="16" t="str">
        <f>IF(CB135=CD136,"",IF(CD136&gt;CB135,CONCATENATE($A$1,TEXT(((CD136-CB135)/CB135),"##%")),CONCATENATE($A$2,TEXT(((CD136-CB135)/CB135),"##%"))))</f>
        <v/>
      </c>
      <c r="CF135" s="495"/>
    </row>
    <row r="136" spans="56:84" ht="16.5" customHeight="1" x14ac:dyDescent="0.2">
      <c r="BD136" s="492"/>
      <c r="BE136" s="199"/>
      <c r="BF136" s="201"/>
      <c r="BG136" s="201"/>
      <c r="BH136" s="48">
        <f>BO21</f>
        <v>347</v>
      </c>
      <c r="BI136" s="48">
        <f>BP21</f>
        <v>328</v>
      </c>
      <c r="BJ136" s="52">
        <f t="shared" ref="BJ136" si="391">BH136-BI136</f>
        <v>19</v>
      </c>
      <c r="BK136" s="204" t="str">
        <f t="shared" si="386"/>
        <v/>
      </c>
      <c r="BL136" s="201"/>
      <c r="BM136" s="201"/>
      <c r="BN136" s="52">
        <f>BH136</f>
        <v>347</v>
      </c>
      <c r="BO136" s="52">
        <f>BI136</f>
        <v>328</v>
      </c>
      <c r="BP136" s="201"/>
      <c r="BQ136" s="495"/>
      <c r="BS136" s="492"/>
      <c r="BT136" s="199"/>
      <c r="BU136" s="201"/>
      <c r="BV136" s="213"/>
      <c r="BW136" s="48">
        <f>CD21</f>
        <v>347</v>
      </c>
      <c r="BX136" s="48">
        <f>CE21</f>
        <v>328</v>
      </c>
      <c r="BY136" s="52">
        <f t="shared" ref="BY136" si="392">IF(BW136-BX136=0,"",BW136-BX136)</f>
        <v>19</v>
      </c>
      <c r="BZ136" s="204" t="str">
        <f t="shared" si="388"/>
        <v/>
      </c>
      <c r="CA136" s="201"/>
      <c r="CB136" s="201"/>
      <c r="CC136" s="52">
        <f>BW136</f>
        <v>347</v>
      </c>
      <c r="CD136" s="52">
        <f>BX136</f>
        <v>328</v>
      </c>
      <c r="CE136" s="201"/>
      <c r="CF136" s="495"/>
    </row>
    <row r="137" spans="56:84" ht="16.5" customHeight="1" x14ac:dyDescent="0.2">
      <c r="BD137" s="492"/>
      <c r="BF137" s="201"/>
      <c r="BG137" s="201"/>
      <c r="BH137" s="201"/>
      <c r="BI137" s="201"/>
      <c r="BJ137" s="52"/>
      <c r="BK137" s="204" t="str">
        <f t="shared" si="386"/>
        <v/>
      </c>
      <c r="BL137" s="201"/>
      <c r="BM137" s="201"/>
      <c r="BN137" s="201"/>
      <c r="BO137" s="201"/>
      <c r="BP137" s="201"/>
      <c r="BQ137" s="495"/>
      <c r="BS137" s="492"/>
      <c r="BU137" s="201"/>
      <c r="BV137" s="213"/>
      <c r="BW137" s="201"/>
      <c r="BX137" s="201"/>
      <c r="BY137" s="52"/>
      <c r="BZ137" s="204" t="str">
        <f t="shared" si="388"/>
        <v/>
      </c>
      <c r="CA137" s="201"/>
      <c r="CB137" s="201"/>
      <c r="CC137" s="201"/>
      <c r="CD137" s="201"/>
      <c r="CE137" s="201"/>
      <c r="CF137" s="495"/>
    </row>
    <row r="138" spans="56:84" ht="16.5" customHeight="1" x14ac:dyDescent="0.2">
      <c r="BD138" s="492"/>
      <c r="BE138" s="47" t="s">
        <v>118</v>
      </c>
      <c r="BF138" s="48">
        <f>BF129+BF132+BF135</f>
        <v>1005</v>
      </c>
      <c r="BG138" s="48">
        <f>BG129+BG132+BG135</f>
        <v>911</v>
      </c>
      <c r="BH138" s="201"/>
      <c r="BI138" s="201"/>
      <c r="BJ138" s="52">
        <f t="shared" ref="BJ138" si="393">BF138-BG138</f>
        <v>94</v>
      </c>
      <c r="BK138" s="16" t="str">
        <f t="shared" si="386"/>
        <v/>
      </c>
      <c r="BL138" s="52">
        <f>BF138</f>
        <v>1005</v>
      </c>
      <c r="BM138" s="52">
        <f>BG138</f>
        <v>911</v>
      </c>
      <c r="BN138" s="201"/>
      <c r="BO138" s="201"/>
      <c r="BP138" s="16" t="str">
        <f>IF(BL138=BN139,"",IF(BN139&gt;BL138,CONCATENATE($A$1,TEXT(((BN139-BL138)/BL138),"##%")),CONCATENATE($A$2,TEXT(((BN139-BL138)/BL138),"##%"))))</f>
        <v/>
      </c>
      <c r="BQ138" s="495"/>
      <c r="BS138" s="492"/>
      <c r="BT138" s="47" t="s">
        <v>118</v>
      </c>
      <c r="BU138" s="48">
        <f>BU129+BU132+BU135</f>
        <v>1005</v>
      </c>
      <c r="BV138" s="48">
        <f t="shared" si="383"/>
        <v>911</v>
      </c>
      <c r="BW138" s="201"/>
      <c r="BX138" s="201"/>
      <c r="BY138" s="52">
        <f t="shared" ref="BY138" si="394">IF(BU138-BV138=0,"",BU138-BV138)</f>
        <v>94</v>
      </c>
      <c r="BZ138" s="16" t="str">
        <f t="shared" si="388"/>
        <v/>
      </c>
      <c r="CA138" s="52">
        <f>BU138</f>
        <v>1005</v>
      </c>
      <c r="CB138" s="52">
        <f>BV138</f>
        <v>911</v>
      </c>
      <c r="CC138" s="201"/>
      <c r="CD138" s="201"/>
      <c r="CE138" s="16" t="str">
        <f>IF(CB138=CD139,"",IF(CD139&gt;CB138,CONCATENATE($A$1,TEXT(((CD139-CB138)/CB138),"##%")),CONCATENATE($A$2,TEXT(((CD139-CB138)/CB138),"##%"))))</f>
        <v/>
      </c>
      <c r="CF138" s="495"/>
    </row>
    <row r="139" spans="56:84" ht="16.5" customHeight="1" x14ac:dyDescent="0.2">
      <c r="BD139" s="493"/>
      <c r="BE139" s="199"/>
      <c r="BF139" s="201"/>
      <c r="BG139" s="201"/>
      <c r="BH139" s="48">
        <f>SUM(BH130:BH136)</f>
        <v>1005</v>
      </c>
      <c r="BI139" s="48">
        <f>SUM(BI130:BI136)</f>
        <v>911</v>
      </c>
      <c r="BJ139" s="52">
        <f t="shared" ref="BJ139" si="395">BH139-BI139</f>
        <v>94</v>
      </c>
      <c r="BK139" s="201"/>
      <c r="BL139" s="201"/>
      <c r="BM139" s="201"/>
      <c r="BN139" s="52">
        <f>BH139</f>
        <v>1005</v>
      </c>
      <c r="BO139" s="52">
        <f>BI139</f>
        <v>911</v>
      </c>
      <c r="BP139" s="201"/>
      <c r="BQ139" s="496"/>
      <c r="BS139" s="493"/>
      <c r="BT139" s="199"/>
      <c r="BU139" s="201"/>
      <c r="BV139" s="201"/>
      <c r="BW139" s="48">
        <f>SUM(BW130:BW136)</f>
        <v>1005</v>
      </c>
      <c r="BX139" s="48">
        <f>SUM(BX130:BX136)</f>
        <v>911</v>
      </c>
      <c r="BY139" s="52">
        <f t="shared" ref="BY139" si="396">IF(BW139-BX139=0,"",BW139-BX139)</f>
        <v>94</v>
      </c>
      <c r="BZ139" s="201"/>
      <c r="CA139" s="201"/>
      <c r="CB139" s="201"/>
      <c r="CC139" s="52">
        <f>BW139</f>
        <v>1005</v>
      </c>
      <c r="CD139" s="52">
        <f>BX139</f>
        <v>911</v>
      </c>
      <c r="CE139" s="201"/>
      <c r="CF139" s="496"/>
    </row>
    <row r="142" spans="56:84" ht="16.5" customHeight="1" x14ac:dyDescent="0.2">
      <c r="BT142" s="222" t="s">
        <v>15</v>
      </c>
      <c r="BU142" s="222" t="s">
        <v>73</v>
      </c>
      <c r="BV142" s="222" t="s">
        <v>74</v>
      </c>
      <c r="BW142" s="222" t="s">
        <v>75</v>
      </c>
    </row>
    <row r="143" spans="56:84" ht="16.5" customHeight="1" x14ac:dyDescent="0.2">
      <c r="BT143" s="27" t="s">
        <v>4</v>
      </c>
      <c r="BU143" s="28">
        <f>IF('11.Change All Calculator'!F14=0,NA(),'11.Change All Calculator'!F14)</f>
        <v>2000000</v>
      </c>
      <c r="BV143" s="28">
        <f>IF('11.Change All Calculator'!L14=0,NA(),'11.Change All Calculator'!L14)</f>
        <v>1200000</v>
      </c>
      <c r="BW143" s="28">
        <f>SUMIF(BU143:BV143,"&lt;&gt;"&amp;"#N/A")</f>
        <v>3200000</v>
      </c>
    </row>
    <row r="144" spans="56:84" ht="16.5" customHeight="1" x14ac:dyDescent="0.2">
      <c r="BT144" s="27" t="s">
        <v>3</v>
      </c>
      <c r="BU144" s="28">
        <f>IF('11.Change All Calculator'!F15=0,NA(),'11.Change All Calculator'!F15)</f>
        <v>1800000</v>
      </c>
      <c r="BV144" s="28">
        <f>IF('11.Change All Calculator'!L15=0,NA(),'11.Change All Calculator'!L15)</f>
        <v>3000000</v>
      </c>
      <c r="BW144" s="28">
        <f t="shared" ref="BW144:BW146" si="397">SUMIF(BU144:BV144,"&lt;&gt;"&amp;"#N/A")</f>
        <v>4800000</v>
      </c>
    </row>
    <row r="145" spans="72:75" ht="16.5" customHeight="1" x14ac:dyDescent="0.2">
      <c r="BT145" s="27" t="s">
        <v>2</v>
      </c>
      <c r="BU145" s="28">
        <f>IF('11.Change All Calculator'!F16=0,NA(),'11.Change All Calculator'!F16)</f>
        <v>645000</v>
      </c>
      <c r="BV145" s="28">
        <f>IF('11.Change All Calculator'!L16=0,NA(),'11.Change All Calculator'!L16)</f>
        <v>850000</v>
      </c>
      <c r="BW145" s="28">
        <f t="shared" si="397"/>
        <v>1495000</v>
      </c>
    </row>
    <row r="146" spans="72:75" ht="16.5" customHeight="1" x14ac:dyDescent="0.2">
      <c r="BT146" s="111" t="s">
        <v>17</v>
      </c>
      <c r="BU146" s="28">
        <f>IF('11.Change All Calculator'!F17=0,NA(),'11.Change All Calculator'!F17)</f>
        <v>2500000</v>
      </c>
      <c r="BV146" s="28">
        <f>IF('11.Change All Calculator'!L17=0,NA(),'11.Change All Calculator'!L17)</f>
        <v>1500000</v>
      </c>
      <c r="BW146" s="28">
        <f t="shared" si="397"/>
        <v>4000000</v>
      </c>
    </row>
  </sheetData>
  <sheetProtection selectLockedCells="1" selectUnlockedCells="1"/>
  <mergeCells count="213">
    <mergeCell ref="BI40:BK40"/>
    <mergeCell ref="BL42:BL45"/>
    <mergeCell ref="BI46:BK46"/>
    <mergeCell ref="BL48:BL51"/>
    <mergeCell ref="BI56:BK56"/>
    <mergeCell ref="BL58:BL61"/>
    <mergeCell ref="BD64:BD67"/>
    <mergeCell ref="BI30:BK30"/>
    <mergeCell ref="L74:L77"/>
    <mergeCell ref="L68:L71"/>
    <mergeCell ref="L62:L65"/>
    <mergeCell ref="T62:T65"/>
    <mergeCell ref="T68:T71"/>
    <mergeCell ref="T74:T77"/>
    <mergeCell ref="AV54:AV57"/>
    <mergeCell ref="AO60:AO63"/>
    <mergeCell ref="AW60:AW63"/>
    <mergeCell ref="AO54:AO57"/>
    <mergeCell ref="L56:L59"/>
    <mergeCell ref="T56:T59"/>
    <mergeCell ref="Q54:S54"/>
    <mergeCell ref="Z56:Z59"/>
    <mergeCell ref="AE54:AG54"/>
    <mergeCell ref="AH56:AH59"/>
    <mergeCell ref="BQ114:BQ124"/>
    <mergeCell ref="BL126:BP126"/>
    <mergeCell ref="BD129:BD139"/>
    <mergeCell ref="BQ129:BQ139"/>
    <mergeCell ref="BI73:BJ73"/>
    <mergeCell ref="BD75:BD78"/>
    <mergeCell ref="BI81:BJ81"/>
    <mergeCell ref="BD83:BD86"/>
    <mergeCell ref="BI89:BJ89"/>
    <mergeCell ref="BD91:BD94"/>
    <mergeCell ref="BL96:BP96"/>
    <mergeCell ref="BD99:BD109"/>
    <mergeCell ref="BQ99:BQ109"/>
    <mergeCell ref="BK75:BK78"/>
    <mergeCell ref="BK83:BK86"/>
    <mergeCell ref="BK91:BK94"/>
    <mergeCell ref="BL111:BP111"/>
    <mergeCell ref="BD114:BD124"/>
    <mergeCell ref="CA3:CF3"/>
    <mergeCell ref="CA17:CF17"/>
    <mergeCell ref="BS42:BS45"/>
    <mergeCell ref="CA42:CA45"/>
    <mergeCell ref="BX46:BZ46"/>
    <mergeCell ref="BS48:BS51"/>
    <mergeCell ref="CA48:CA51"/>
    <mergeCell ref="BS54:BS55"/>
    <mergeCell ref="BX56:BZ56"/>
    <mergeCell ref="BU3:BV3"/>
    <mergeCell ref="BW3:BZ3"/>
    <mergeCell ref="BS5:BS8"/>
    <mergeCell ref="BU10:BV10"/>
    <mergeCell ref="BW10:BZ10"/>
    <mergeCell ref="BS12:BS15"/>
    <mergeCell ref="BU17:BV17"/>
    <mergeCell ref="BW17:BZ17"/>
    <mergeCell ref="BS19:BS22"/>
    <mergeCell ref="AO26:AO29"/>
    <mergeCell ref="AV26:AV29"/>
    <mergeCell ref="AV40:AV43"/>
    <mergeCell ref="AT24:AU24"/>
    <mergeCell ref="J26:J29"/>
    <mergeCell ref="G35:I35"/>
    <mergeCell ref="CA64:CA67"/>
    <mergeCell ref="BS70:BS71"/>
    <mergeCell ref="CA10:CF10"/>
    <mergeCell ref="BS58:BS61"/>
    <mergeCell ref="CA58:CA61"/>
    <mergeCell ref="BI24:BK24"/>
    <mergeCell ref="BL32:BL35"/>
    <mergeCell ref="BI62:BK62"/>
    <mergeCell ref="BL64:BL67"/>
    <mergeCell ref="BD38:BD39"/>
    <mergeCell ref="BD54:BD55"/>
    <mergeCell ref="BL26:BL29"/>
    <mergeCell ref="BD26:BD29"/>
    <mergeCell ref="BD32:BD35"/>
    <mergeCell ref="BD42:BD45"/>
    <mergeCell ref="BD48:BD51"/>
    <mergeCell ref="BD58:BD61"/>
    <mergeCell ref="BD70:BD71"/>
    <mergeCell ref="AI10:AM10"/>
    <mergeCell ref="Z12:Z14"/>
    <mergeCell ref="AW32:AW35"/>
    <mergeCell ref="AT30:AV30"/>
    <mergeCell ref="L50:L53"/>
    <mergeCell ref="AO32:AO35"/>
    <mergeCell ref="T44:T47"/>
    <mergeCell ref="T50:T53"/>
    <mergeCell ref="Q42:S42"/>
    <mergeCell ref="Q48:S48"/>
    <mergeCell ref="Z50:Z53"/>
    <mergeCell ref="L26:L29"/>
    <mergeCell ref="Q30:S30"/>
    <mergeCell ref="AH50:AH53"/>
    <mergeCell ref="AT38:AU38"/>
    <mergeCell ref="AO40:AO43"/>
    <mergeCell ref="AT44:AV44"/>
    <mergeCell ref="AO46:AO49"/>
    <mergeCell ref="Q24:S24"/>
    <mergeCell ref="Z26:Z29"/>
    <mergeCell ref="AE24:AG24"/>
    <mergeCell ref="AH26:AH29"/>
    <mergeCell ref="T26:T29"/>
    <mergeCell ref="AE42:AG42"/>
    <mergeCell ref="B5:B8"/>
    <mergeCell ref="B12:B15"/>
    <mergeCell ref="B19:B22"/>
    <mergeCell ref="L44:L47"/>
    <mergeCell ref="D3:F3"/>
    <mergeCell ref="H3:J3"/>
    <mergeCell ref="H17:J17"/>
    <mergeCell ref="D17:F17"/>
    <mergeCell ref="H10:J10"/>
    <mergeCell ref="D10:F10"/>
    <mergeCell ref="G3:G4"/>
    <mergeCell ref="L19:L21"/>
    <mergeCell ref="L38:L41"/>
    <mergeCell ref="L32:L35"/>
    <mergeCell ref="J37:J40"/>
    <mergeCell ref="G46:I46"/>
    <mergeCell ref="B54:B55"/>
    <mergeCell ref="B26:B29"/>
    <mergeCell ref="B37:B40"/>
    <mergeCell ref="B48:B51"/>
    <mergeCell ref="B32:B33"/>
    <mergeCell ref="B43:B44"/>
    <mergeCell ref="G24:I24"/>
    <mergeCell ref="AB10:AH10"/>
    <mergeCell ref="G17:G18"/>
    <mergeCell ref="J48:J51"/>
    <mergeCell ref="AH44:AH47"/>
    <mergeCell ref="AE48:AG48"/>
    <mergeCell ref="N3:S3"/>
    <mergeCell ref="T3:X3"/>
    <mergeCell ref="L5:L7"/>
    <mergeCell ref="L12:L14"/>
    <mergeCell ref="G10:G11"/>
    <mergeCell ref="N10:S10"/>
    <mergeCell ref="T10:X10"/>
    <mergeCell ref="N17:S17"/>
    <mergeCell ref="T17:X17"/>
    <mergeCell ref="BH3:BK3"/>
    <mergeCell ref="Z19:Z21"/>
    <mergeCell ref="AI3:AM3"/>
    <mergeCell ref="Z5:Z7"/>
    <mergeCell ref="BF10:BG10"/>
    <mergeCell ref="BH10:BK10"/>
    <mergeCell ref="BF17:BG17"/>
    <mergeCell ref="BH17:BK17"/>
    <mergeCell ref="BD19:BD22"/>
    <mergeCell ref="BD12:BD15"/>
    <mergeCell ref="BD5:BD8"/>
    <mergeCell ref="AB3:AH3"/>
    <mergeCell ref="AQ10:AW10"/>
    <mergeCell ref="AQ3:AW3"/>
    <mergeCell ref="AX10:BB10"/>
    <mergeCell ref="AX3:BB3"/>
    <mergeCell ref="AX17:BB17"/>
    <mergeCell ref="AI17:AM17"/>
    <mergeCell ref="AO19:AO21"/>
    <mergeCell ref="AB17:AH17"/>
    <mergeCell ref="AQ17:AW17"/>
    <mergeCell ref="BF3:BG3"/>
    <mergeCell ref="AO5:AO7"/>
    <mergeCell ref="AO12:AO14"/>
    <mergeCell ref="CM11:CM13"/>
    <mergeCell ref="CM18:CM20"/>
    <mergeCell ref="CM25:CM27"/>
    <mergeCell ref="AT52:AU52"/>
    <mergeCell ref="AT58:AV58"/>
    <mergeCell ref="AW46:AW49"/>
    <mergeCell ref="T32:T35"/>
    <mergeCell ref="T38:T41"/>
    <mergeCell ref="Q36:S36"/>
    <mergeCell ref="Z32:Z35"/>
    <mergeCell ref="Z38:Z41"/>
    <mergeCell ref="AE30:AG30"/>
    <mergeCell ref="AH32:AH35"/>
    <mergeCell ref="AE36:AG36"/>
    <mergeCell ref="AH38:AH41"/>
    <mergeCell ref="Z44:Z47"/>
    <mergeCell ref="BX24:BZ24"/>
    <mergeCell ref="BS26:BS29"/>
    <mergeCell ref="CA26:CA29"/>
    <mergeCell ref="BX30:BZ30"/>
    <mergeCell ref="BS32:BS35"/>
    <mergeCell ref="CA32:CA35"/>
    <mergeCell ref="BS38:BS39"/>
    <mergeCell ref="BX40:BZ40"/>
    <mergeCell ref="BX73:BY73"/>
    <mergeCell ref="BS75:BS78"/>
    <mergeCell ref="BZ75:BZ78"/>
    <mergeCell ref="BX81:BY81"/>
    <mergeCell ref="BX62:BZ62"/>
    <mergeCell ref="BS64:BS67"/>
    <mergeCell ref="CA126:CE126"/>
    <mergeCell ref="BS129:BS139"/>
    <mergeCell ref="CF99:CF109"/>
    <mergeCell ref="CF114:CF124"/>
    <mergeCell ref="CF129:CF139"/>
    <mergeCell ref="BS83:BS86"/>
    <mergeCell ref="BZ83:BZ86"/>
    <mergeCell ref="BX89:BY89"/>
    <mergeCell ref="BS91:BS94"/>
    <mergeCell ref="BZ91:BZ94"/>
    <mergeCell ref="CA96:CE96"/>
    <mergeCell ref="BS99:BS109"/>
    <mergeCell ref="CA111:CE111"/>
    <mergeCell ref="BS114:BS1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H264"/>
  <sheetViews>
    <sheetView showFormulas="1" showGridLines="0" view="pageLayout" zoomScaleNormal="75" zoomScaleSheetLayoutView="100" workbookViewId="0">
      <selection activeCell="A8" sqref="A8:H12"/>
    </sheetView>
  </sheetViews>
  <sheetFormatPr defaultColWidth="0" defaultRowHeight="16.5" customHeight="1" zeroHeight="1" x14ac:dyDescent="0.3"/>
  <cols>
    <col min="1" max="1" width="6.5" style="215" customWidth="1"/>
    <col min="2" max="7" width="3.59765625" style="215" customWidth="1"/>
    <col min="8" max="8" width="7.69921875" style="215" customWidth="1"/>
    <col min="9" max="16384" width="8.796875" style="215" hidden="1"/>
  </cols>
  <sheetData>
    <row r="1" spans="1:8" ht="16.5" customHeight="1" x14ac:dyDescent="0.3">
      <c r="A1" s="419" t="s">
        <v>179</v>
      </c>
      <c r="B1" s="419"/>
      <c r="C1" s="419"/>
      <c r="D1" s="419"/>
      <c r="E1" s="419"/>
      <c r="F1" s="419"/>
      <c r="G1" s="419"/>
      <c r="H1" s="419"/>
    </row>
    <row r="2" spans="1:8" ht="5.25" customHeight="1" x14ac:dyDescent="0.3">
      <c r="A2" s="328"/>
      <c r="B2" s="328"/>
      <c r="C2" s="328"/>
      <c r="D2" s="328"/>
      <c r="E2" s="328"/>
      <c r="F2" s="328"/>
      <c r="G2" s="328"/>
      <c r="H2" s="328"/>
    </row>
    <row r="3" spans="1:8" ht="16.5" customHeight="1" x14ac:dyDescent="0.3">
      <c r="A3" s="395" t="s">
        <v>280</v>
      </c>
      <c r="B3" s="395"/>
      <c r="C3" s="395"/>
      <c r="D3" s="395"/>
      <c r="E3" s="395"/>
      <c r="F3" s="395"/>
      <c r="G3" s="395"/>
      <c r="H3" s="395"/>
    </row>
    <row r="4" spans="1:8" ht="16.5" customHeight="1" x14ac:dyDescent="0.3">
      <c r="A4" s="395"/>
      <c r="B4" s="395"/>
      <c r="C4" s="395"/>
      <c r="D4" s="395"/>
      <c r="E4" s="395"/>
      <c r="F4" s="395"/>
      <c r="G4" s="395"/>
      <c r="H4" s="395"/>
    </row>
    <row r="5" spans="1:8" ht="16.5" customHeight="1" x14ac:dyDescent="0.3">
      <c r="A5" s="395"/>
      <c r="B5" s="395"/>
      <c r="C5" s="395"/>
      <c r="D5" s="395"/>
      <c r="E5" s="395"/>
      <c r="F5" s="395"/>
      <c r="G5" s="395"/>
      <c r="H5" s="395"/>
    </row>
    <row r="6" spans="1:8" ht="16.5" customHeight="1" x14ac:dyDescent="0.3">
      <c r="A6" s="326"/>
      <c r="B6" s="326"/>
      <c r="C6" s="326"/>
      <c r="D6" s="326"/>
      <c r="E6" s="326"/>
      <c r="F6" s="326"/>
      <c r="G6" s="326"/>
      <c r="H6" s="326"/>
    </row>
    <row r="7" spans="1:8" x14ac:dyDescent="0.3">
      <c r="A7" s="419" t="s">
        <v>169</v>
      </c>
      <c r="B7" s="419"/>
      <c r="C7" s="419"/>
      <c r="D7" s="419"/>
      <c r="E7" s="419"/>
      <c r="F7" s="419"/>
      <c r="G7" s="419"/>
      <c r="H7" s="419"/>
    </row>
    <row r="8" spans="1:8" ht="5.25" customHeight="1" x14ac:dyDescent="0.3">
      <c r="A8" s="395" t="s">
        <v>264</v>
      </c>
      <c r="B8" s="395"/>
      <c r="C8" s="395"/>
      <c r="D8" s="395"/>
      <c r="E8" s="395"/>
      <c r="F8" s="395"/>
      <c r="G8" s="395"/>
      <c r="H8" s="395"/>
    </row>
    <row r="9" spans="1:8" x14ac:dyDescent="0.3">
      <c r="A9" s="395"/>
      <c r="B9" s="395"/>
      <c r="C9" s="395"/>
      <c r="D9" s="395"/>
      <c r="E9" s="395"/>
      <c r="F9" s="395"/>
      <c r="G9" s="395"/>
      <c r="H9" s="395"/>
    </row>
    <row r="10" spans="1:8" x14ac:dyDescent="0.3">
      <c r="A10" s="395"/>
      <c r="B10" s="395"/>
      <c r="C10" s="395"/>
      <c r="D10" s="395"/>
      <c r="E10" s="395"/>
      <c r="F10" s="395"/>
      <c r="G10" s="395"/>
      <c r="H10" s="395"/>
    </row>
    <row r="11" spans="1:8" x14ac:dyDescent="0.3">
      <c r="A11" s="395"/>
      <c r="B11" s="395"/>
      <c r="C11" s="395"/>
      <c r="D11" s="395"/>
      <c r="E11" s="395"/>
      <c r="F11" s="395"/>
      <c r="G11" s="395"/>
      <c r="H11" s="395"/>
    </row>
    <row r="12" spans="1:8" x14ac:dyDescent="0.3">
      <c r="A12" s="395"/>
      <c r="B12" s="395"/>
      <c r="C12" s="395"/>
      <c r="D12" s="395"/>
      <c r="E12" s="395"/>
      <c r="F12" s="395"/>
      <c r="G12" s="395"/>
      <c r="H12" s="395"/>
    </row>
    <row r="13" spans="1:8" x14ac:dyDescent="0.3"/>
    <row r="14" spans="1:8" ht="17.25" thickBot="1" x14ac:dyDescent="0.35">
      <c r="A14" s="354" t="s">
        <v>229</v>
      </c>
      <c r="B14" s="433" t="s">
        <v>130</v>
      </c>
      <c r="C14" s="433"/>
      <c r="D14" s="433"/>
      <c r="E14" s="433" t="s">
        <v>131</v>
      </c>
      <c r="F14" s="433"/>
      <c r="G14" s="433"/>
      <c r="H14" s="433"/>
    </row>
    <row r="15" spans="1:8" ht="17.25" thickTop="1" x14ac:dyDescent="0.3">
      <c r="A15" s="420" t="s">
        <v>225</v>
      </c>
      <c r="B15" s="410" t="s">
        <v>132</v>
      </c>
      <c r="C15" s="410"/>
      <c r="D15" s="410"/>
      <c r="E15" s="408" t="s">
        <v>165</v>
      </c>
      <c r="F15" s="408"/>
      <c r="G15" s="408"/>
      <c r="H15" s="409"/>
    </row>
    <row r="16" spans="1:8" x14ac:dyDescent="0.3">
      <c r="A16" s="417"/>
      <c r="B16" s="411" t="s">
        <v>133</v>
      </c>
      <c r="C16" s="411"/>
      <c r="D16" s="411"/>
      <c r="E16" s="405" t="s">
        <v>166</v>
      </c>
      <c r="F16" s="406"/>
      <c r="G16" s="406"/>
      <c r="H16" s="407"/>
    </row>
    <row r="17" spans="1:8" ht="17.25" thickBot="1" x14ac:dyDescent="0.35">
      <c r="A17" s="421"/>
      <c r="B17" s="434" t="s">
        <v>134</v>
      </c>
      <c r="C17" s="434"/>
      <c r="D17" s="434"/>
      <c r="E17" s="403" t="s">
        <v>170</v>
      </c>
      <c r="F17" s="403"/>
      <c r="G17" s="403"/>
      <c r="H17" s="404"/>
    </row>
    <row r="18" spans="1:8" ht="1.5" customHeight="1" thickTop="1" thickBot="1" x14ac:dyDescent="0.35">
      <c r="A18" s="355"/>
      <c r="B18" s="356"/>
      <c r="C18" s="356"/>
      <c r="D18" s="356"/>
      <c r="E18" s="357"/>
      <c r="F18" s="357"/>
      <c r="G18" s="357"/>
      <c r="H18" s="357"/>
    </row>
    <row r="19" spans="1:8" ht="35.25" customHeight="1" thickTop="1" x14ac:dyDescent="0.3">
      <c r="A19" s="412" t="s">
        <v>226</v>
      </c>
      <c r="B19" s="438" t="s">
        <v>217</v>
      </c>
      <c r="C19" s="438"/>
      <c r="D19" s="438"/>
      <c r="E19" s="422" t="s">
        <v>171</v>
      </c>
      <c r="F19" s="423"/>
      <c r="G19" s="423"/>
      <c r="H19" s="423"/>
    </row>
    <row r="20" spans="1:8" ht="39" customHeight="1" thickBot="1" x14ac:dyDescent="0.35">
      <c r="A20" s="413"/>
      <c r="B20" s="437" t="s">
        <v>135</v>
      </c>
      <c r="C20" s="437"/>
      <c r="D20" s="437"/>
      <c r="E20" s="435" t="s">
        <v>172</v>
      </c>
      <c r="F20" s="436"/>
      <c r="G20" s="436"/>
      <c r="H20" s="436"/>
    </row>
    <row r="21" spans="1:8" ht="2.25" customHeight="1" thickTop="1" thickBot="1" x14ac:dyDescent="0.35">
      <c r="A21" s="355"/>
      <c r="B21" s="358"/>
      <c r="C21" s="358"/>
      <c r="D21" s="358"/>
      <c r="E21" s="359"/>
      <c r="F21" s="357"/>
      <c r="G21" s="357"/>
      <c r="H21" s="357"/>
    </row>
    <row r="22" spans="1:8" ht="17.25" thickTop="1" x14ac:dyDescent="0.3">
      <c r="A22" s="414" t="s">
        <v>227</v>
      </c>
      <c r="B22" s="401" t="s">
        <v>136</v>
      </c>
      <c r="C22" s="401"/>
      <c r="D22" s="401"/>
      <c r="E22" s="431" t="s">
        <v>173</v>
      </c>
      <c r="F22" s="431"/>
      <c r="G22" s="431"/>
      <c r="H22" s="431"/>
    </row>
    <row r="23" spans="1:8" ht="17.25" thickBot="1" x14ac:dyDescent="0.35">
      <c r="A23" s="415"/>
      <c r="B23" s="402" t="s">
        <v>137</v>
      </c>
      <c r="C23" s="402"/>
      <c r="D23" s="402"/>
      <c r="E23" s="430" t="s">
        <v>167</v>
      </c>
      <c r="F23" s="430"/>
      <c r="G23" s="430"/>
      <c r="H23" s="430"/>
    </row>
    <row r="24" spans="1:8" ht="2.25" customHeight="1" thickTop="1" thickBot="1" x14ac:dyDescent="0.35">
      <c r="A24" s="355"/>
      <c r="B24" s="360"/>
      <c r="C24" s="360"/>
      <c r="D24" s="360"/>
      <c r="E24" s="357"/>
      <c r="F24" s="357"/>
      <c r="G24" s="357"/>
      <c r="H24" s="357"/>
    </row>
    <row r="25" spans="1:8" ht="33.75" customHeight="1" thickTop="1" x14ac:dyDescent="0.3">
      <c r="A25" s="416" t="s">
        <v>228</v>
      </c>
      <c r="B25" s="398" t="s">
        <v>138</v>
      </c>
      <c r="C25" s="398"/>
      <c r="D25" s="398"/>
      <c r="E25" s="429" t="s">
        <v>174</v>
      </c>
      <c r="F25" s="429"/>
      <c r="G25" s="429"/>
      <c r="H25" s="429"/>
    </row>
    <row r="26" spans="1:8" ht="33" customHeight="1" x14ac:dyDescent="0.3">
      <c r="A26" s="417"/>
      <c r="B26" s="399" t="s">
        <v>139</v>
      </c>
      <c r="C26" s="399"/>
      <c r="D26" s="399"/>
      <c r="E26" s="405" t="s">
        <v>168</v>
      </c>
      <c r="F26" s="405"/>
      <c r="G26" s="405"/>
      <c r="H26" s="405"/>
    </row>
    <row r="27" spans="1:8" ht="33" customHeight="1" x14ac:dyDescent="0.3">
      <c r="A27" s="417"/>
      <c r="B27" s="399" t="s">
        <v>140</v>
      </c>
      <c r="C27" s="399"/>
      <c r="D27" s="399"/>
      <c r="E27" s="405" t="s">
        <v>175</v>
      </c>
      <c r="F27" s="405"/>
      <c r="G27" s="405"/>
      <c r="H27" s="405"/>
    </row>
    <row r="28" spans="1:8" ht="32.25" customHeight="1" thickBot="1" x14ac:dyDescent="0.35">
      <c r="A28" s="418"/>
      <c r="B28" s="400" t="s">
        <v>141</v>
      </c>
      <c r="C28" s="400"/>
      <c r="D28" s="400"/>
      <c r="E28" s="428" t="s">
        <v>142</v>
      </c>
      <c r="F28" s="428"/>
      <c r="G28" s="428"/>
      <c r="H28" s="428"/>
    </row>
    <row r="29" spans="1:8" ht="2.25" customHeight="1" thickTop="1" thickBot="1" x14ac:dyDescent="0.35">
      <c r="A29" s="355"/>
      <c r="B29" s="361"/>
      <c r="C29" s="361"/>
      <c r="D29" s="361"/>
      <c r="E29" s="359"/>
      <c r="F29" s="359"/>
      <c r="G29" s="359"/>
      <c r="H29" s="359"/>
    </row>
    <row r="30" spans="1:8" ht="33.75" customHeight="1" thickTop="1" thickBot="1" x14ac:dyDescent="0.35">
      <c r="A30" s="362" t="s">
        <v>230</v>
      </c>
      <c r="B30" s="424" t="s">
        <v>221</v>
      </c>
      <c r="C30" s="424"/>
      <c r="D30" s="424"/>
      <c r="E30" s="427" t="s">
        <v>143</v>
      </c>
      <c r="F30" s="427"/>
      <c r="G30" s="427"/>
      <c r="H30" s="427"/>
    </row>
    <row r="31" spans="1:8" ht="2.25" customHeight="1" thickTop="1" thickBot="1" x14ac:dyDescent="0.35">
      <c r="A31" s="355"/>
      <c r="B31" s="364"/>
      <c r="C31" s="364"/>
      <c r="D31" s="364"/>
      <c r="E31" s="359"/>
      <c r="F31" s="359"/>
      <c r="G31" s="359"/>
      <c r="H31" s="359"/>
    </row>
    <row r="32" spans="1:8" ht="33" customHeight="1" thickTop="1" thickBot="1" x14ac:dyDescent="0.35">
      <c r="A32" s="363" t="s">
        <v>231</v>
      </c>
      <c r="B32" s="425" t="s">
        <v>178</v>
      </c>
      <c r="C32" s="425"/>
      <c r="D32" s="425"/>
      <c r="E32" s="426" t="s">
        <v>176</v>
      </c>
      <c r="F32" s="426"/>
      <c r="G32" s="426"/>
      <c r="H32" s="426"/>
    </row>
    <row r="33" spans="1:8" ht="15.75" customHeight="1" thickTop="1" x14ac:dyDescent="0.3">
      <c r="A33" s="365"/>
      <c r="B33" s="366"/>
      <c r="C33" s="366"/>
      <c r="D33" s="367"/>
      <c r="E33" s="359"/>
      <c r="F33" s="359"/>
      <c r="G33" s="359"/>
      <c r="H33" s="359"/>
    </row>
    <row r="34" spans="1:8" x14ac:dyDescent="0.3">
      <c r="A34" s="432" t="s">
        <v>177</v>
      </c>
      <c r="B34" s="432"/>
      <c r="C34" s="432"/>
    </row>
    <row r="35" spans="1:8" ht="16.5" customHeight="1" x14ac:dyDescent="0.3">
      <c r="A35" s="395" t="s">
        <v>281</v>
      </c>
      <c r="B35" s="395"/>
      <c r="C35" s="395"/>
      <c r="D35" s="395"/>
      <c r="E35" s="395"/>
      <c r="F35" s="395"/>
      <c r="G35" s="395"/>
      <c r="H35" s="395"/>
    </row>
    <row r="36" spans="1:8" x14ac:dyDescent="0.3">
      <c r="A36" s="395"/>
      <c r="B36" s="395"/>
      <c r="C36" s="395"/>
      <c r="D36" s="395"/>
      <c r="E36" s="395"/>
      <c r="F36" s="395"/>
      <c r="G36" s="395"/>
      <c r="H36" s="395"/>
    </row>
    <row r="37" spans="1:8" ht="16.5" customHeight="1" x14ac:dyDescent="0.3">
      <c r="A37" s="395"/>
      <c r="B37" s="395"/>
      <c r="C37" s="395"/>
      <c r="D37" s="395"/>
      <c r="E37" s="395"/>
      <c r="F37" s="395"/>
      <c r="G37" s="395"/>
      <c r="H37" s="395"/>
    </row>
    <row r="38" spans="1:8" x14ac:dyDescent="0.3">
      <c r="A38" s="395"/>
      <c r="B38" s="395"/>
      <c r="C38" s="395"/>
      <c r="D38" s="395"/>
      <c r="E38" s="395"/>
      <c r="F38" s="395"/>
      <c r="G38" s="395"/>
      <c r="H38" s="395"/>
    </row>
    <row r="39" spans="1:8" x14ac:dyDescent="0.3">
      <c r="A39" s="395"/>
      <c r="B39" s="395"/>
      <c r="C39" s="395"/>
      <c r="D39" s="395"/>
      <c r="E39" s="395"/>
      <c r="F39" s="395"/>
      <c r="G39" s="395"/>
      <c r="H39" s="395"/>
    </row>
    <row r="40" spans="1:8" x14ac:dyDescent="0.3">
      <c r="A40" s="395"/>
      <c r="B40" s="395"/>
      <c r="C40" s="395"/>
      <c r="D40" s="395"/>
      <c r="E40" s="395"/>
      <c r="F40" s="395"/>
      <c r="G40" s="395"/>
      <c r="H40" s="395"/>
    </row>
    <row r="41" spans="1:8" x14ac:dyDescent="0.3">
      <c r="A41" s="395"/>
      <c r="B41" s="395"/>
      <c r="C41" s="395"/>
      <c r="D41" s="395"/>
      <c r="E41" s="395"/>
      <c r="F41" s="395"/>
      <c r="G41" s="395"/>
      <c r="H41" s="395"/>
    </row>
    <row r="42" spans="1:8" x14ac:dyDescent="0.3">
      <c r="A42" s="395"/>
      <c r="B42" s="395"/>
      <c r="C42" s="395"/>
      <c r="D42" s="395"/>
      <c r="E42" s="395"/>
      <c r="F42" s="395"/>
      <c r="G42" s="395"/>
      <c r="H42" s="395"/>
    </row>
    <row r="43" spans="1:8" x14ac:dyDescent="0.3">
      <c r="A43" s="395"/>
      <c r="B43" s="395"/>
      <c r="C43" s="395"/>
      <c r="D43" s="395"/>
      <c r="E43" s="395"/>
      <c r="F43" s="395"/>
      <c r="G43" s="395"/>
      <c r="H43" s="395"/>
    </row>
    <row r="44" spans="1:8" x14ac:dyDescent="0.3">
      <c r="A44" s="216"/>
    </row>
    <row r="45" spans="1:8" x14ac:dyDescent="0.3">
      <c r="A45" s="396" t="s">
        <v>232</v>
      </c>
      <c r="B45" s="396"/>
    </row>
    <row r="46" spans="1:8" x14ac:dyDescent="0.3">
      <c r="A46" s="395" t="s">
        <v>239</v>
      </c>
      <c r="B46" s="395"/>
      <c r="C46" s="395"/>
      <c r="D46" s="395"/>
      <c r="E46" s="395"/>
      <c r="F46" s="395"/>
      <c r="G46" s="395"/>
      <c r="H46" s="395"/>
    </row>
    <row r="47" spans="1:8" x14ac:dyDescent="0.3">
      <c r="A47" s="395"/>
      <c r="B47" s="395"/>
      <c r="C47" s="395"/>
      <c r="D47" s="395"/>
      <c r="E47" s="395"/>
      <c r="F47" s="395"/>
      <c r="G47" s="395"/>
      <c r="H47" s="395"/>
    </row>
    <row r="48" spans="1:8" x14ac:dyDescent="0.3">
      <c r="A48" s="395"/>
      <c r="B48" s="395"/>
      <c r="C48" s="395"/>
      <c r="D48" s="395"/>
      <c r="E48" s="395"/>
      <c r="F48" s="395"/>
      <c r="G48" s="395"/>
      <c r="H48" s="395"/>
    </row>
    <row r="49" spans="1:8" x14ac:dyDescent="0.3">
      <c r="A49" s="395"/>
      <c r="B49" s="395"/>
      <c r="C49" s="395"/>
      <c r="D49" s="395"/>
      <c r="E49" s="395"/>
      <c r="F49" s="395"/>
      <c r="G49" s="395"/>
      <c r="H49" s="395"/>
    </row>
    <row r="50" spans="1:8" x14ac:dyDescent="0.3">
      <c r="A50" s="395"/>
      <c r="B50" s="395"/>
      <c r="C50" s="395"/>
      <c r="D50" s="395"/>
      <c r="E50" s="395"/>
      <c r="F50" s="395"/>
      <c r="G50" s="395"/>
      <c r="H50" s="395"/>
    </row>
    <row r="51" spans="1:8" x14ac:dyDescent="0.3">
      <c r="B51" s="326"/>
      <c r="C51" s="326"/>
      <c r="D51" s="326"/>
      <c r="E51" s="326"/>
      <c r="F51" s="326"/>
      <c r="G51" s="326"/>
      <c r="H51" s="326"/>
    </row>
    <row r="52" spans="1:8" x14ac:dyDescent="0.3">
      <c r="A52" s="324"/>
      <c r="B52" s="324"/>
      <c r="C52" s="324"/>
      <c r="D52" s="324"/>
      <c r="E52" s="324"/>
      <c r="F52" s="324"/>
      <c r="G52" s="324"/>
      <c r="H52" s="324"/>
    </row>
    <row r="53" spans="1:8" x14ac:dyDescent="0.3">
      <c r="A53" s="324"/>
      <c r="B53" s="324"/>
      <c r="C53" s="324"/>
      <c r="D53" s="324"/>
      <c r="E53" s="324"/>
      <c r="F53" s="324"/>
      <c r="G53" s="324"/>
      <c r="H53" s="324"/>
    </row>
    <row r="54" spans="1:8" x14ac:dyDescent="0.3">
      <c r="A54" s="324"/>
      <c r="B54" s="324"/>
      <c r="C54" s="324"/>
      <c r="D54" s="324"/>
      <c r="E54" s="324"/>
      <c r="F54" s="324"/>
      <c r="G54" s="324"/>
      <c r="H54" s="324"/>
    </row>
    <row r="55" spans="1:8" x14ac:dyDescent="0.3">
      <c r="A55" s="324"/>
      <c r="B55" s="324"/>
      <c r="C55" s="324"/>
      <c r="D55" s="324"/>
      <c r="E55" s="324"/>
      <c r="F55" s="324"/>
      <c r="G55" s="324"/>
      <c r="H55" s="324"/>
    </row>
    <row r="56" spans="1:8" x14ac:dyDescent="0.3">
      <c r="A56" s="324"/>
      <c r="B56" s="324"/>
      <c r="C56" s="324"/>
      <c r="D56" s="324"/>
      <c r="E56" s="324"/>
      <c r="F56" s="324"/>
      <c r="G56" s="324"/>
      <c r="H56" s="324"/>
    </row>
    <row r="57" spans="1:8" x14ac:dyDescent="0.3">
      <c r="A57" s="324"/>
      <c r="B57" s="324"/>
      <c r="C57" s="324"/>
      <c r="D57" s="324"/>
      <c r="E57" s="324"/>
      <c r="F57" s="324"/>
      <c r="G57" s="324"/>
      <c r="H57" s="324"/>
    </row>
    <row r="58" spans="1:8" ht="16.5" customHeight="1" x14ac:dyDescent="0.3">
      <c r="A58" s="324"/>
      <c r="B58" s="324"/>
      <c r="C58" s="324"/>
      <c r="D58" s="324"/>
      <c r="E58" s="324"/>
      <c r="F58" s="324"/>
      <c r="G58" s="324"/>
      <c r="H58" s="324"/>
    </row>
    <row r="59" spans="1:8" x14ac:dyDescent="0.3"/>
    <row r="60" spans="1:8" x14ac:dyDescent="0.3">
      <c r="A60" s="216"/>
    </row>
    <row r="61" spans="1:8" x14ac:dyDescent="0.3">
      <c r="A61" s="216"/>
    </row>
    <row r="62" spans="1:8" x14ac:dyDescent="0.3">
      <c r="A62" s="216"/>
    </row>
    <row r="63" spans="1:8" x14ac:dyDescent="0.3">
      <c r="A63" s="216"/>
    </row>
    <row r="64" spans="1:8" x14ac:dyDescent="0.3">
      <c r="A64" s="216"/>
    </row>
    <row r="65" spans="1:8" x14ac:dyDescent="0.3">
      <c r="A65" s="216"/>
    </row>
    <row r="66" spans="1:8" x14ac:dyDescent="0.3">
      <c r="A66" s="216"/>
    </row>
    <row r="67" spans="1:8" ht="16.5" customHeight="1" x14ac:dyDescent="0.3"/>
    <row r="68" spans="1:8" x14ac:dyDescent="0.3">
      <c r="A68" s="397" t="s">
        <v>354</v>
      </c>
      <c r="B68" s="397"/>
      <c r="C68" s="397"/>
      <c r="D68" s="397"/>
      <c r="E68" s="397"/>
      <c r="F68" s="397"/>
      <c r="G68" s="397"/>
      <c r="H68" s="397"/>
    </row>
    <row r="69" spans="1:8" x14ac:dyDescent="0.3">
      <c r="A69" s="397"/>
      <c r="B69" s="397"/>
      <c r="C69" s="397"/>
      <c r="D69" s="397"/>
      <c r="E69" s="397"/>
      <c r="F69" s="397"/>
      <c r="G69" s="397"/>
      <c r="H69" s="397"/>
    </row>
    <row r="70" spans="1:8" x14ac:dyDescent="0.3">
      <c r="A70" s="397"/>
      <c r="B70" s="397"/>
      <c r="C70" s="397"/>
      <c r="D70" s="397"/>
      <c r="E70" s="397"/>
      <c r="F70" s="397"/>
      <c r="G70" s="397"/>
      <c r="H70" s="397"/>
    </row>
    <row r="71" spans="1:8" ht="78.75" customHeight="1" x14ac:dyDescent="0.3">
      <c r="A71" s="397"/>
      <c r="B71" s="397"/>
      <c r="C71" s="397"/>
      <c r="D71" s="397"/>
      <c r="E71" s="397"/>
      <c r="F71" s="397"/>
      <c r="G71" s="397"/>
      <c r="H71" s="397"/>
    </row>
    <row r="72" spans="1:8" ht="129" hidden="1" customHeight="1" x14ac:dyDescent="0.3"/>
    <row r="73" spans="1:8" ht="54" hidden="1" customHeight="1" x14ac:dyDescent="0.3"/>
    <row r="74" spans="1:8" hidden="1" x14ac:dyDescent="0.3">
      <c r="A74" s="216"/>
    </row>
    <row r="75" spans="1:8" hidden="1" x14ac:dyDescent="0.3"/>
    <row r="76" spans="1:8" hidden="1" x14ac:dyDescent="0.3"/>
    <row r="77" spans="1:8" ht="16.5" hidden="1" customHeight="1" x14ac:dyDescent="0.3">
      <c r="B77" s="329"/>
      <c r="C77" s="329"/>
      <c r="D77" s="329"/>
      <c r="E77" s="329"/>
      <c r="F77" s="329"/>
      <c r="G77" s="329"/>
    </row>
    <row r="78" spans="1:8" hidden="1" x14ac:dyDescent="0.3">
      <c r="A78" s="329"/>
      <c r="B78" s="329"/>
      <c r="C78" s="329"/>
      <c r="D78" s="329"/>
      <c r="E78" s="329"/>
      <c r="F78" s="329"/>
      <c r="G78" s="329"/>
    </row>
    <row r="79" spans="1:8" hidden="1" x14ac:dyDescent="0.3">
      <c r="A79" s="329"/>
      <c r="B79" s="329"/>
      <c r="C79" s="329"/>
      <c r="D79" s="329"/>
      <c r="E79" s="329"/>
      <c r="F79" s="329"/>
      <c r="G79" s="329"/>
    </row>
    <row r="80" spans="1:8" hidden="1" x14ac:dyDescent="0.3">
      <c r="A80" s="329"/>
      <c r="B80" s="329"/>
      <c r="C80" s="329"/>
      <c r="D80" s="329"/>
      <c r="E80" s="329"/>
      <c r="F80" s="329"/>
      <c r="G80" s="329"/>
    </row>
    <row r="81" spans="1:7" hidden="1" x14ac:dyDescent="0.3">
      <c r="A81" s="329"/>
      <c r="B81" s="329"/>
      <c r="C81" s="329"/>
      <c r="D81" s="329"/>
      <c r="E81" s="329"/>
      <c r="F81" s="329"/>
      <c r="G81" s="329"/>
    </row>
    <row r="82" spans="1:7" hidden="1" x14ac:dyDescent="0.3"/>
    <row r="83" spans="1:7" hidden="1" x14ac:dyDescent="0.3"/>
    <row r="84" spans="1:7" hidden="1" x14ac:dyDescent="0.3"/>
    <row r="85" spans="1:7" hidden="1" x14ac:dyDescent="0.3"/>
    <row r="86" spans="1:7" hidden="1" x14ac:dyDescent="0.3"/>
    <row r="87" spans="1:7" hidden="1" x14ac:dyDescent="0.3"/>
    <row r="88" spans="1:7" hidden="1" x14ac:dyDescent="0.3"/>
    <row r="89" spans="1:7" hidden="1" x14ac:dyDescent="0.3"/>
    <row r="90" spans="1:7" hidden="1" x14ac:dyDescent="0.3"/>
    <row r="91" spans="1:7" hidden="1" x14ac:dyDescent="0.3"/>
    <row r="92" spans="1:7" hidden="1" x14ac:dyDescent="0.3"/>
    <row r="93" spans="1:7" hidden="1" x14ac:dyDescent="0.3"/>
    <row r="94" spans="1:7" hidden="1" x14ac:dyDescent="0.3"/>
    <row r="95" spans="1:7" hidden="1" x14ac:dyDescent="0.3"/>
    <row r="96" spans="1:7" hidden="1" x14ac:dyDescent="0.3"/>
    <row r="97" spans="1:7" ht="16.5" hidden="1" customHeight="1" x14ac:dyDescent="0.3">
      <c r="A97" s="395"/>
      <c r="B97" s="395"/>
      <c r="C97" s="395"/>
      <c r="D97" s="395"/>
      <c r="E97" s="395"/>
      <c r="F97" s="395"/>
      <c r="G97" s="395"/>
    </row>
    <row r="98" spans="1:7" hidden="1" x14ac:dyDescent="0.3">
      <c r="A98" s="395"/>
      <c r="B98" s="395"/>
      <c r="C98" s="395"/>
      <c r="D98" s="395"/>
      <c r="E98" s="395"/>
      <c r="F98" s="395"/>
      <c r="G98" s="395"/>
    </row>
    <row r="99" spans="1:7" hidden="1" x14ac:dyDescent="0.3">
      <c r="A99" s="395"/>
      <c r="B99" s="395"/>
      <c r="C99" s="395"/>
      <c r="D99" s="395"/>
      <c r="E99" s="395"/>
      <c r="F99" s="395"/>
      <c r="G99" s="395"/>
    </row>
    <row r="100" spans="1:7" hidden="1" x14ac:dyDescent="0.3">
      <c r="A100" s="395"/>
      <c r="B100" s="395"/>
      <c r="C100" s="395"/>
      <c r="D100" s="395"/>
      <c r="E100" s="395"/>
      <c r="F100" s="395"/>
      <c r="G100" s="395"/>
    </row>
    <row r="101" spans="1:7" hidden="1" x14ac:dyDescent="0.3">
      <c r="A101" s="395"/>
      <c r="B101" s="395"/>
      <c r="C101" s="395"/>
      <c r="D101" s="395"/>
      <c r="E101" s="395"/>
      <c r="F101" s="395"/>
      <c r="G101" s="395"/>
    </row>
    <row r="102" spans="1:7" hidden="1" x14ac:dyDescent="0.3">
      <c r="A102" s="395"/>
      <c r="B102" s="395"/>
      <c r="C102" s="395"/>
      <c r="D102" s="395"/>
      <c r="E102" s="395"/>
      <c r="F102" s="395"/>
      <c r="G102" s="395"/>
    </row>
    <row r="103" spans="1:7" hidden="1" x14ac:dyDescent="0.3"/>
    <row r="104" spans="1:7" hidden="1" x14ac:dyDescent="0.3">
      <c r="A104" s="216"/>
    </row>
    <row r="105" spans="1:7" hidden="1" x14ac:dyDescent="0.3"/>
    <row r="106" spans="1:7" ht="16.5" hidden="1" customHeight="1" x14ac:dyDescent="0.3">
      <c r="A106" s="395"/>
      <c r="B106" s="395"/>
      <c r="C106" s="395"/>
      <c r="D106" s="395"/>
      <c r="E106" s="395"/>
      <c r="F106" s="395"/>
      <c r="G106" s="395"/>
    </row>
    <row r="107" spans="1:7" hidden="1" x14ac:dyDescent="0.3">
      <c r="A107" s="395"/>
      <c r="B107" s="395"/>
      <c r="C107" s="395"/>
      <c r="D107" s="395"/>
      <c r="E107" s="395"/>
      <c r="F107" s="395"/>
      <c r="G107" s="395"/>
    </row>
    <row r="108" spans="1:7" hidden="1" x14ac:dyDescent="0.3">
      <c r="A108" s="395"/>
      <c r="B108" s="395"/>
      <c r="C108" s="395"/>
      <c r="D108" s="395"/>
      <c r="E108" s="395"/>
      <c r="F108" s="395"/>
      <c r="G108" s="395"/>
    </row>
    <row r="109" spans="1:7" hidden="1" x14ac:dyDescent="0.3">
      <c r="A109" s="395"/>
      <c r="B109" s="395"/>
      <c r="C109" s="395"/>
      <c r="D109" s="395"/>
      <c r="E109" s="395"/>
      <c r="F109" s="395"/>
      <c r="G109" s="395"/>
    </row>
    <row r="110" spans="1:7" hidden="1" x14ac:dyDescent="0.3">
      <c r="A110" s="395"/>
      <c r="B110" s="395"/>
      <c r="C110" s="395"/>
      <c r="D110" s="395"/>
      <c r="E110" s="395"/>
      <c r="F110" s="395"/>
      <c r="G110" s="395"/>
    </row>
    <row r="111" spans="1:7" hidden="1" x14ac:dyDescent="0.3">
      <c r="A111" s="395"/>
      <c r="B111" s="395"/>
      <c r="C111" s="395"/>
      <c r="D111" s="395"/>
      <c r="E111" s="395"/>
      <c r="F111" s="395"/>
      <c r="G111" s="395"/>
    </row>
    <row r="112" spans="1:7" hidden="1" x14ac:dyDescent="0.3">
      <c r="A112" s="395"/>
      <c r="B112" s="395"/>
      <c r="C112" s="395"/>
      <c r="D112" s="395"/>
      <c r="E112" s="395"/>
      <c r="F112" s="395"/>
      <c r="G112" s="395"/>
    </row>
    <row r="113" spans="1:7" hidden="1" x14ac:dyDescent="0.3">
      <c r="A113" s="395"/>
      <c r="B113" s="395"/>
      <c r="C113" s="395"/>
      <c r="D113" s="395"/>
      <c r="E113" s="395"/>
      <c r="F113" s="395"/>
      <c r="G113" s="395"/>
    </row>
    <row r="114" spans="1:7" hidden="1" x14ac:dyDescent="0.3">
      <c r="A114" s="395"/>
      <c r="B114" s="395"/>
      <c r="C114" s="395"/>
      <c r="D114" s="395"/>
      <c r="E114" s="395"/>
      <c r="F114" s="395"/>
      <c r="G114" s="395"/>
    </row>
    <row r="115" spans="1:7" hidden="1" x14ac:dyDescent="0.3">
      <c r="A115" s="395"/>
      <c r="B115" s="395"/>
      <c r="C115" s="395"/>
      <c r="D115" s="395"/>
      <c r="E115" s="395"/>
      <c r="F115" s="395"/>
      <c r="G115" s="395"/>
    </row>
    <row r="116" spans="1:7" hidden="1" x14ac:dyDescent="0.3"/>
    <row r="117" spans="1:7" ht="16.5" hidden="1" customHeight="1" x14ac:dyDescent="0.3">
      <c r="A117" s="395"/>
      <c r="B117" s="395"/>
      <c r="C117" s="395"/>
      <c r="D117" s="395"/>
      <c r="E117" s="395"/>
      <c r="F117" s="395"/>
      <c r="G117" s="395"/>
    </row>
    <row r="118" spans="1:7" hidden="1" x14ac:dyDescent="0.3">
      <c r="A118" s="395"/>
      <c r="B118" s="395"/>
      <c r="C118" s="395"/>
      <c r="D118" s="395"/>
      <c r="E118" s="395"/>
      <c r="F118" s="395"/>
      <c r="G118" s="395"/>
    </row>
    <row r="119" spans="1:7" hidden="1" x14ac:dyDescent="0.3">
      <c r="A119" s="395"/>
      <c r="B119" s="395"/>
      <c r="C119" s="395"/>
      <c r="D119" s="395"/>
      <c r="E119" s="395"/>
      <c r="F119" s="395"/>
      <c r="G119" s="395"/>
    </row>
    <row r="120" spans="1:7" hidden="1" x14ac:dyDescent="0.3">
      <c r="A120" s="395"/>
      <c r="B120" s="395"/>
      <c r="C120" s="395"/>
      <c r="D120" s="395"/>
      <c r="E120" s="395"/>
      <c r="F120" s="395"/>
      <c r="G120" s="395"/>
    </row>
    <row r="121" spans="1:7" hidden="1" x14ac:dyDescent="0.3">
      <c r="A121" s="395"/>
      <c r="B121" s="395"/>
      <c r="C121" s="395"/>
      <c r="D121" s="395"/>
      <c r="E121" s="395"/>
      <c r="F121" s="395"/>
      <c r="G121" s="395"/>
    </row>
    <row r="122" spans="1:7" hidden="1" x14ac:dyDescent="0.3">
      <c r="A122" s="395"/>
      <c r="B122" s="395"/>
      <c r="C122" s="395"/>
      <c r="D122" s="395"/>
      <c r="E122" s="395"/>
      <c r="F122" s="395"/>
      <c r="G122" s="395"/>
    </row>
    <row r="123" spans="1:7" hidden="1" x14ac:dyDescent="0.3">
      <c r="A123" s="395"/>
      <c r="B123" s="395"/>
      <c r="C123" s="395"/>
      <c r="D123" s="395"/>
      <c r="E123" s="395"/>
      <c r="F123" s="395"/>
      <c r="G123" s="395"/>
    </row>
    <row r="124" spans="1:7" hidden="1" x14ac:dyDescent="0.3">
      <c r="A124" s="395"/>
      <c r="B124" s="395"/>
      <c r="C124" s="395"/>
      <c r="D124" s="395"/>
      <c r="E124" s="395"/>
      <c r="F124" s="395"/>
      <c r="G124" s="395"/>
    </row>
    <row r="125" spans="1:7" hidden="1" x14ac:dyDescent="0.3">
      <c r="A125" s="395"/>
      <c r="B125" s="395"/>
      <c r="C125" s="395"/>
      <c r="D125" s="395"/>
      <c r="E125" s="395"/>
      <c r="F125" s="395"/>
      <c r="G125" s="395"/>
    </row>
    <row r="126" spans="1:7" hidden="1" x14ac:dyDescent="0.3">
      <c r="A126" s="395"/>
      <c r="B126" s="395"/>
      <c r="C126" s="395"/>
      <c r="D126" s="395"/>
      <c r="E126" s="395"/>
      <c r="F126" s="395"/>
      <c r="G126" s="395"/>
    </row>
    <row r="127" spans="1:7" hidden="1" x14ac:dyDescent="0.3">
      <c r="A127" s="395"/>
      <c r="B127" s="395"/>
      <c r="C127" s="395"/>
      <c r="D127" s="395"/>
      <c r="E127" s="395"/>
      <c r="F127" s="395"/>
      <c r="G127" s="395"/>
    </row>
    <row r="128" spans="1:7" hidden="1" x14ac:dyDescent="0.3">
      <c r="A128" s="395"/>
      <c r="B128" s="395"/>
      <c r="C128" s="395"/>
      <c r="D128" s="395"/>
      <c r="E128" s="395"/>
      <c r="F128" s="395"/>
      <c r="G128" s="395"/>
    </row>
    <row r="129" spans="1:7" hidden="1" x14ac:dyDescent="0.3">
      <c r="A129" s="277"/>
      <c r="B129" s="277"/>
      <c r="C129" s="277"/>
      <c r="D129" s="277"/>
      <c r="E129" s="277"/>
      <c r="F129" s="277"/>
      <c r="G129" s="277"/>
    </row>
    <row r="130" spans="1:7" ht="16.5" hidden="1" customHeight="1" x14ac:dyDescent="0.3">
      <c r="A130" s="395"/>
      <c r="B130" s="395"/>
      <c r="C130" s="395"/>
      <c r="D130" s="395"/>
      <c r="E130" s="395"/>
      <c r="F130" s="395"/>
      <c r="G130" s="395"/>
    </row>
    <row r="131" spans="1:7" hidden="1" x14ac:dyDescent="0.3">
      <c r="A131" s="395"/>
      <c r="B131" s="395"/>
      <c r="C131" s="395"/>
      <c r="D131" s="395"/>
      <c r="E131" s="395"/>
      <c r="F131" s="395"/>
      <c r="G131" s="395"/>
    </row>
    <row r="132" spans="1:7" hidden="1" x14ac:dyDescent="0.3">
      <c r="A132" s="395"/>
      <c r="B132" s="395"/>
      <c r="C132" s="395"/>
      <c r="D132" s="395"/>
      <c r="E132" s="395"/>
      <c r="F132" s="395"/>
      <c r="G132" s="395"/>
    </row>
    <row r="133" spans="1:7" hidden="1" x14ac:dyDescent="0.3">
      <c r="A133" s="395"/>
      <c r="B133" s="395"/>
      <c r="C133" s="395"/>
      <c r="D133" s="395"/>
      <c r="E133" s="395"/>
      <c r="F133" s="395"/>
      <c r="G133" s="395"/>
    </row>
    <row r="134" spans="1:7" hidden="1" x14ac:dyDescent="0.3">
      <c r="A134" s="395"/>
      <c r="B134" s="395"/>
      <c r="C134" s="395"/>
      <c r="D134" s="395"/>
      <c r="E134" s="395"/>
      <c r="F134" s="395"/>
      <c r="G134" s="395"/>
    </row>
    <row r="135" spans="1:7" hidden="1" x14ac:dyDescent="0.3">
      <c r="A135" s="395"/>
      <c r="B135" s="395"/>
      <c r="C135" s="395"/>
      <c r="D135" s="395"/>
      <c r="E135" s="395"/>
      <c r="F135" s="395"/>
      <c r="G135" s="395"/>
    </row>
    <row r="136" spans="1:7" hidden="1" x14ac:dyDescent="0.3">
      <c r="A136" s="395"/>
      <c r="B136" s="395"/>
      <c r="C136" s="395"/>
      <c r="D136" s="395"/>
      <c r="E136" s="395"/>
      <c r="F136" s="395"/>
      <c r="G136" s="395"/>
    </row>
    <row r="137" spans="1:7" hidden="1" x14ac:dyDescent="0.3">
      <c r="A137" s="395"/>
      <c r="B137" s="395"/>
      <c r="C137" s="395"/>
      <c r="D137" s="395"/>
      <c r="E137" s="395"/>
      <c r="F137" s="395"/>
      <c r="G137" s="395"/>
    </row>
    <row r="138" spans="1:7" hidden="1" x14ac:dyDescent="0.3">
      <c r="A138" s="217"/>
      <c r="B138" s="217"/>
      <c r="C138" s="217"/>
      <c r="D138" s="217"/>
      <c r="E138" s="217"/>
      <c r="F138" s="217"/>
      <c r="G138" s="217"/>
    </row>
    <row r="139" spans="1:7" hidden="1" x14ac:dyDescent="0.3"/>
    <row r="140" spans="1:7" ht="16.5" hidden="1" customHeight="1" x14ac:dyDescent="0.3">
      <c r="B140" s="217"/>
      <c r="C140" s="217"/>
      <c r="D140" s="217"/>
      <c r="E140" s="217"/>
      <c r="F140" s="217"/>
      <c r="G140" s="217"/>
    </row>
    <row r="141" spans="1:7" hidden="1" x14ac:dyDescent="0.3">
      <c r="A141" s="217"/>
      <c r="B141" s="217"/>
      <c r="C141" s="217"/>
      <c r="D141" s="217"/>
      <c r="E141" s="217"/>
      <c r="F141" s="217"/>
      <c r="G141" s="217"/>
    </row>
    <row r="142" spans="1:7" hidden="1" x14ac:dyDescent="0.3">
      <c r="A142" s="217"/>
      <c r="B142" s="217"/>
      <c r="C142" s="217"/>
      <c r="D142" s="217"/>
      <c r="E142" s="217"/>
      <c r="F142" s="217"/>
      <c r="G142" s="217"/>
    </row>
    <row r="143" spans="1:7" hidden="1" x14ac:dyDescent="0.3">
      <c r="A143" s="217"/>
      <c r="B143" s="217"/>
      <c r="C143" s="217"/>
      <c r="D143" s="217"/>
      <c r="E143" s="217"/>
      <c r="F143" s="217"/>
      <c r="G143" s="217"/>
    </row>
    <row r="144" spans="1:7" hidden="1" x14ac:dyDescent="0.3">
      <c r="A144" s="217"/>
      <c r="B144" s="217"/>
      <c r="C144" s="217"/>
      <c r="D144" s="217"/>
      <c r="E144" s="217"/>
      <c r="F144" s="217"/>
      <c r="G144" s="217"/>
    </row>
    <row r="145" hidden="1" x14ac:dyDescent="0.3"/>
    <row r="146" ht="16.5" hidden="1" customHeight="1" x14ac:dyDescent="0.3"/>
    <row r="147" ht="16.5" hidden="1" customHeight="1" x14ac:dyDescent="0.3"/>
    <row r="148" ht="16.5" hidden="1" customHeight="1" x14ac:dyDescent="0.3"/>
    <row r="149" ht="16.5" hidden="1" customHeight="1" x14ac:dyDescent="0.3"/>
    <row r="150" ht="16.5" hidden="1" customHeight="1" x14ac:dyDescent="0.3"/>
    <row r="151" ht="16.5" hidden="1" customHeight="1" x14ac:dyDescent="0.3"/>
    <row r="152" ht="16.5" hidden="1" customHeight="1" x14ac:dyDescent="0.3"/>
    <row r="153" ht="16.5" hidden="1" customHeight="1" x14ac:dyDescent="0.3"/>
    <row r="154" ht="16.5" hidden="1" customHeight="1" x14ac:dyDescent="0.3"/>
    <row r="155" ht="16.5" hidden="1" customHeight="1" x14ac:dyDescent="0.3"/>
    <row r="156" ht="16.5" hidden="1" customHeight="1" x14ac:dyDescent="0.3"/>
    <row r="157" ht="16.5" hidden="1" customHeight="1" x14ac:dyDescent="0.3"/>
    <row r="158" ht="16.5" hidden="1" customHeight="1" x14ac:dyDescent="0.3"/>
    <row r="159" ht="16.5" hidden="1" customHeight="1" x14ac:dyDescent="0.3"/>
    <row r="160" ht="16.5" hidden="1" customHeight="1" x14ac:dyDescent="0.3"/>
    <row r="161" ht="16.5" hidden="1" customHeight="1" x14ac:dyDescent="0.3"/>
    <row r="162" ht="16.5" hidden="1" customHeight="1" x14ac:dyDescent="0.3"/>
    <row r="163" ht="16.5" hidden="1" customHeight="1" x14ac:dyDescent="0.3"/>
    <row r="164" ht="16.5" hidden="1" customHeight="1" x14ac:dyDescent="0.3"/>
    <row r="165" ht="16.5" hidden="1" customHeight="1" x14ac:dyDescent="0.3"/>
    <row r="166" ht="16.5" hidden="1" customHeight="1" x14ac:dyDescent="0.3"/>
    <row r="167" ht="16.5" hidden="1" customHeight="1" x14ac:dyDescent="0.3"/>
    <row r="168" ht="16.5" hidden="1" customHeight="1" x14ac:dyDescent="0.3"/>
    <row r="169" ht="16.5" hidden="1" customHeight="1" x14ac:dyDescent="0.3"/>
    <row r="170" ht="16.5" hidden="1" customHeight="1" x14ac:dyDescent="0.3"/>
    <row r="171" ht="16.5" hidden="1" customHeight="1" x14ac:dyDescent="0.3"/>
    <row r="172" ht="16.5" hidden="1" customHeight="1" x14ac:dyDescent="0.3"/>
    <row r="173" ht="16.5" hidden="1" customHeight="1" x14ac:dyDescent="0.3"/>
    <row r="174" ht="16.5" hidden="1" customHeight="1" x14ac:dyDescent="0.3"/>
    <row r="175" ht="16.5" hidden="1" customHeight="1" x14ac:dyDescent="0.3"/>
    <row r="176" ht="16.5" hidden="1" customHeight="1" x14ac:dyDescent="0.3"/>
    <row r="177" ht="16.5" hidden="1" customHeight="1" x14ac:dyDescent="0.3"/>
    <row r="178" ht="16.5" hidden="1" customHeight="1" x14ac:dyDescent="0.3"/>
    <row r="179" ht="16.5" hidden="1" customHeight="1" x14ac:dyDescent="0.3"/>
    <row r="180" ht="16.5" hidden="1" customHeight="1" x14ac:dyDescent="0.3"/>
    <row r="181" ht="16.5" hidden="1" customHeight="1" x14ac:dyDescent="0.3"/>
    <row r="182" ht="16.5" hidden="1" customHeight="1" x14ac:dyDescent="0.3"/>
    <row r="183" ht="16.5" hidden="1" customHeight="1" x14ac:dyDescent="0.3"/>
    <row r="184" ht="16.5" hidden="1" customHeight="1" x14ac:dyDescent="0.3"/>
    <row r="185" ht="16.5" hidden="1" customHeight="1" x14ac:dyDescent="0.3"/>
    <row r="186" ht="16.5" hidden="1" customHeight="1" x14ac:dyDescent="0.3"/>
    <row r="187" ht="16.5" hidden="1" customHeight="1" x14ac:dyDescent="0.3"/>
    <row r="188" ht="16.5" hidden="1" customHeight="1" x14ac:dyDescent="0.3"/>
    <row r="189" ht="16.5" hidden="1" customHeight="1" x14ac:dyDescent="0.3"/>
    <row r="190" ht="16.5" hidden="1" customHeight="1" x14ac:dyDescent="0.3"/>
    <row r="191" ht="16.5" hidden="1" customHeight="1" x14ac:dyDescent="0.3"/>
    <row r="192" ht="16.5" hidden="1" customHeight="1" x14ac:dyDescent="0.3"/>
    <row r="193" ht="16.5" hidden="1" customHeight="1" x14ac:dyDescent="0.3"/>
    <row r="194" ht="16.5" hidden="1" customHeight="1" x14ac:dyDescent="0.3"/>
    <row r="195" ht="16.5" hidden="1" customHeight="1" x14ac:dyDescent="0.3"/>
    <row r="196" ht="16.5" hidden="1" customHeight="1" x14ac:dyDescent="0.3"/>
    <row r="197" ht="16.5" hidden="1" customHeight="1" x14ac:dyDescent="0.3"/>
    <row r="198" ht="16.5" hidden="1" customHeight="1" x14ac:dyDescent="0.3"/>
    <row r="199" ht="16.5" hidden="1" customHeight="1" x14ac:dyDescent="0.3"/>
    <row r="200" ht="16.5" hidden="1" customHeight="1" x14ac:dyDescent="0.3"/>
    <row r="201" ht="16.5" hidden="1" customHeight="1" x14ac:dyDescent="0.3"/>
    <row r="202" ht="16.5" hidden="1" customHeight="1" x14ac:dyDescent="0.3"/>
    <row r="203" ht="16.5" hidden="1" customHeight="1" x14ac:dyDescent="0.3"/>
    <row r="204" ht="16.5" hidden="1" customHeight="1" x14ac:dyDescent="0.3"/>
    <row r="205" ht="16.5" hidden="1" customHeight="1" x14ac:dyDescent="0.3"/>
    <row r="206" ht="16.5" hidden="1" customHeight="1" x14ac:dyDescent="0.3"/>
    <row r="207" ht="16.5" hidden="1" customHeight="1" x14ac:dyDescent="0.3"/>
    <row r="208" ht="16.5" hidden="1" customHeight="1" x14ac:dyDescent="0.3"/>
    <row r="209" ht="16.5" hidden="1" customHeight="1" x14ac:dyDescent="0.3"/>
    <row r="210" ht="16.5" hidden="1" customHeight="1" x14ac:dyDescent="0.3"/>
    <row r="211" ht="16.5" hidden="1" customHeight="1" x14ac:dyDescent="0.3"/>
    <row r="212" ht="16.5" hidden="1" customHeight="1" x14ac:dyDescent="0.3"/>
    <row r="213" ht="16.5" hidden="1" customHeight="1" x14ac:dyDescent="0.3"/>
    <row r="214" ht="16.5" hidden="1" customHeight="1" x14ac:dyDescent="0.3"/>
    <row r="215" ht="16.5" hidden="1" customHeight="1" x14ac:dyDescent="0.3"/>
    <row r="216" ht="16.5" hidden="1" customHeight="1" x14ac:dyDescent="0.3"/>
    <row r="217" ht="16.5" hidden="1" customHeight="1" x14ac:dyDescent="0.3"/>
    <row r="218" ht="16.5" hidden="1" customHeight="1" x14ac:dyDescent="0.3"/>
    <row r="219" ht="16.5" hidden="1" customHeight="1" x14ac:dyDescent="0.3"/>
    <row r="220" ht="16.5" hidden="1" customHeight="1" x14ac:dyDescent="0.3"/>
    <row r="221" ht="16.5" hidden="1" customHeight="1" x14ac:dyDescent="0.3"/>
    <row r="222" ht="16.5" hidden="1" customHeight="1" x14ac:dyDescent="0.3"/>
    <row r="223" ht="16.5" hidden="1" customHeight="1" x14ac:dyDescent="0.3"/>
    <row r="224" ht="16.5" hidden="1" customHeight="1" x14ac:dyDescent="0.3"/>
    <row r="225" ht="16.5" hidden="1" customHeight="1" x14ac:dyDescent="0.3"/>
    <row r="226" ht="16.5" hidden="1" customHeight="1" x14ac:dyDescent="0.3"/>
    <row r="227" ht="16.5" hidden="1" customHeight="1" x14ac:dyDescent="0.3"/>
    <row r="228" ht="16.5" hidden="1" customHeight="1" x14ac:dyDescent="0.3"/>
    <row r="229" ht="16.5" hidden="1" customHeight="1" x14ac:dyDescent="0.3"/>
    <row r="230" ht="16.5" hidden="1" customHeight="1" x14ac:dyDescent="0.3"/>
    <row r="231" ht="16.5" hidden="1" customHeight="1" x14ac:dyDescent="0.3"/>
    <row r="232" ht="16.5" hidden="1" customHeight="1" x14ac:dyDescent="0.3"/>
    <row r="233" ht="16.5" hidden="1" customHeight="1" x14ac:dyDescent="0.3"/>
    <row r="234" ht="16.5" hidden="1" customHeight="1" x14ac:dyDescent="0.3"/>
    <row r="235" ht="16.5" hidden="1" customHeight="1" x14ac:dyDescent="0.3"/>
    <row r="236" ht="16.5" hidden="1" customHeight="1" x14ac:dyDescent="0.3"/>
    <row r="237" ht="16.5" hidden="1" customHeight="1" x14ac:dyDescent="0.3"/>
    <row r="238" ht="16.5" hidden="1" customHeight="1" x14ac:dyDescent="0.3"/>
    <row r="239" ht="16.5" hidden="1" customHeight="1" x14ac:dyDescent="0.3"/>
    <row r="240" ht="16.5" hidden="1" customHeight="1" x14ac:dyDescent="0.3"/>
    <row r="241" ht="16.5" hidden="1" customHeight="1" x14ac:dyDescent="0.3"/>
    <row r="242" ht="16.5" hidden="1" customHeight="1" x14ac:dyDescent="0.3"/>
    <row r="243" ht="16.5" hidden="1" customHeight="1" x14ac:dyDescent="0.3"/>
    <row r="244" ht="16.5" hidden="1" customHeight="1" x14ac:dyDescent="0.3"/>
    <row r="245" ht="16.5" hidden="1" customHeight="1" x14ac:dyDescent="0.3"/>
    <row r="246" ht="16.5" hidden="1" customHeight="1" x14ac:dyDescent="0.3"/>
    <row r="247" ht="16.5" hidden="1" customHeight="1" x14ac:dyDescent="0.3"/>
    <row r="248" ht="16.5" hidden="1" customHeight="1" x14ac:dyDescent="0.3"/>
    <row r="249" ht="16.5" hidden="1" customHeight="1" x14ac:dyDescent="0.3"/>
    <row r="250" ht="16.5" hidden="1" customHeight="1" x14ac:dyDescent="0.3"/>
    <row r="251" ht="16.5" hidden="1" customHeight="1" x14ac:dyDescent="0.3"/>
    <row r="252" ht="16.5" hidden="1" customHeight="1" x14ac:dyDescent="0.3"/>
    <row r="253" ht="16.5" hidden="1" customHeight="1" x14ac:dyDescent="0.3"/>
    <row r="254" ht="16.5" hidden="1" customHeight="1" x14ac:dyDescent="0.3"/>
    <row r="255" ht="16.5" hidden="1" customHeight="1" x14ac:dyDescent="0.3"/>
    <row r="256" ht="16.5" hidden="1" customHeight="1" x14ac:dyDescent="0.3"/>
    <row r="257" ht="16.5" hidden="1" customHeight="1" x14ac:dyDescent="0.3"/>
    <row r="258" ht="16.5" hidden="1" customHeight="1" x14ac:dyDescent="0.3"/>
    <row r="259" ht="16.5" hidden="1" customHeight="1" x14ac:dyDescent="0.3"/>
    <row r="260" ht="16.5" hidden="1" customHeight="1" x14ac:dyDescent="0.3"/>
    <row r="261" ht="16.5" hidden="1" customHeight="1" x14ac:dyDescent="0.3"/>
    <row r="262" ht="16.5" hidden="1" customHeight="1" x14ac:dyDescent="0.3"/>
    <row r="263" ht="16.5" hidden="1" customHeight="1" x14ac:dyDescent="0.3"/>
    <row r="264" ht="16.5" hidden="1" customHeight="1" x14ac:dyDescent="0.3"/>
  </sheetData>
  <sheetProtection password="C66B" sheet="1" objects="1" scenarios="1"/>
  <mergeCells count="45">
    <mergeCell ref="A34:C34"/>
    <mergeCell ref="E14:H14"/>
    <mergeCell ref="B14:D14"/>
    <mergeCell ref="B17:D17"/>
    <mergeCell ref="E20:H20"/>
    <mergeCell ref="B20:D20"/>
    <mergeCell ref="B19:D19"/>
    <mergeCell ref="A1:H1"/>
    <mergeCell ref="A3:H5"/>
    <mergeCell ref="A7:H7"/>
    <mergeCell ref="A15:A17"/>
    <mergeCell ref="A130:G137"/>
    <mergeCell ref="E19:H19"/>
    <mergeCell ref="B30:D30"/>
    <mergeCell ref="B32:D32"/>
    <mergeCell ref="E32:H32"/>
    <mergeCell ref="E30:H30"/>
    <mergeCell ref="E28:H28"/>
    <mergeCell ref="E27:H27"/>
    <mergeCell ref="E26:H26"/>
    <mergeCell ref="E25:H25"/>
    <mergeCell ref="E23:H23"/>
    <mergeCell ref="E22:H22"/>
    <mergeCell ref="A8:H12"/>
    <mergeCell ref="A97:G102"/>
    <mergeCell ref="B25:D25"/>
    <mergeCell ref="B26:D26"/>
    <mergeCell ref="B27:D27"/>
    <mergeCell ref="B28:D28"/>
    <mergeCell ref="B22:D22"/>
    <mergeCell ref="B23:D23"/>
    <mergeCell ref="E17:H17"/>
    <mergeCell ref="E16:H16"/>
    <mergeCell ref="E15:H15"/>
    <mergeCell ref="B15:D15"/>
    <mergeCell ref="B16:D16"/>
    <mergeCell ref="A19:A20"/>
    <mergeCell ref="A22:A23"/>
    <mergeCell ref="A25:A28"/>
    <mergeCell ref="A35:H43"/>
    <mergeCell ref="A45:B45"/>
    <mergeCell ref="A46:H50"/>
    <mergeCell ref="A106:G115"/>
    <mergeCell ref="A117:G128"/>
    <mergeCell ref="A68:H71"/>
  </mergeCells>
  <pageMargins left="0.7" right="0.7" top="1" bottom="0.90052083333333299" header="0.3" footer="0.3"/>
  <pageSetup scale="90" orientation="portrait" r:id="rId1"/>
  <headerFooter>
    <oddHeader>&amp;L&amp;G&amp;C&amp;"Calibri,Bold"Performance Improvement Calculator:
GETTING STARTED&amp;R&amp;G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33" max="16383" man="1"/>
    <brk id="128" max="6"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H267"/>
  <sheetViews>
    <sheetView showGridLines="0" view="pageLayout" zoomScaleNormal="100" zoomScaleSheetLayoutView="100" workbookViewId="0">
      <selection activeCell="D5" sqref="D5:H5"/>
    </sheetView>
  </sheetViews>
  <sheetFormatPr defaultColWidth="0" defaultRowHeight="16.5" customHeight="1" zeroHeight="1" x14ac:dyDescent="0.3"/>
  <cols>
    <col min="1" max="7" width="9.796875" style="215" customWidth="1"/>
    <col min="8" max="8" width="8.796875" style="215" hidden="1" customWidth="1"/>
    <col min="9" max="16384" width="8.796875" style="215" hidden="1"/>
  </cols>
  <sheetData>
    <row r="1" spans="1:8" ht="16.5" customHeight="1" x14ac:dyDescent="0.3">
      <c r="A1" s="216" t="s">
        <v>233</v>
      </c>
    </row>
    <row r="2" spans="1:8" ht="16.5" customHeight="1" x14ac:dyDescent="0.3">
      <c r="A2" s="395" t="s">
        <v>234</v>
      </c>
      <c r="B2" s="395"/>
      <c r="C2" s="395"/>
      <c r="D2" s="395"/>
      <c r="E2" s="395"/>
      <c r="F2" s="395"/>
      <c r="G2" s="395"/>
      <c r="H2" s="395"/>
    </row>
    <row r="3" spans="1:8" ht="16.5" customHeight="1" x14ac:dyDescent="0.3">
      <c r="A3" s="395"/>
      <c r="B3" s="395"/>
      <c r="C3" s="395"/>
      <c r="D3" s="395"/>
      <c r="E3" s="395"/>
      <c r="F3" s="395"/>
      <c r="G3" s="395"/>
      <c r="H3" s="395"/>
    </row>
    <row r="4" spans="1:8" ht="16.5" customHeight="1" x14ac:dyDescent="0.3">
      <c r="A4" s="395"/>
      <c r="B4" s="395"/>
      <c r="C4" s="395"/>
      <c r="D4" s="395"/>
      <c r="E4" s="395"/>
      <c r="F4" s="395"/>
      <c r="G4" s="395"/>
      <c r="H4" s="395"/>
    </row>
    <row r="5" spans="1:8" ht="111" customHeight="1" x14ac:dyDescent="0.3">
      <c r="A5" s="218">
        <v>1</v>
      </c>
      <c r="B5" s="219" t="s">
        <v>88</v>
      </c>
      <c r="D5" s="395" t="s">
        <v>282</v>
      </c>
      <c r="E5" s="395"/>
      <c r="F5" s="395"/>
      <c r="G5" s="395"/>
      <c r="H5" s="395"/>
    </row>
    <row r="6" spans="1:8" ht="134.25" customHeight="1" x14ac:dyDescent="0.3">
      <c r="A6" s="218">
        <v>2</v>
      </c>
      <c r="B6" s="219" t="s">
        <v>97</v>
      </c>
      <c r="D6" s="395" t="s">
        <v>240</v>
      </c>
      <c r="E6" s="395"/>
      <c r="F6" s="395"/>
      <c r="G6" s="395"/>
      <c r="H6" s="395"/>
    </row>
    <row r="7" spans="1:8" ht="66.75" customHeight="1" x14ac:dyDescent="0.3">
      <c r="A7" s="218">
        <v>3</v>
      </c>
      <c r="B7" s="219" t="s">
        <v>98</v>
      </c>
      <c r="D7" s="395" t="s">
        <v>283</v>
      </c>
      <c r="E7" s="395"/>
      <c r="F7" s="395"/>
      <c r="G7" s="395"/>
      <c r="H7" s="395"/>
    </row>
    <row r="8" spans="1:8" ht="16.5" customHeight="1" x14ac:dyDescent="0.3">
      <c r="A8" s="218"/>
      <c r="B8" s="219"/>
      <c r="D8" s="326"/>
      <c r="E8" s="326"/>
      <c r="F8" s="326"/>
      <c r="G8" s="326"/>
      <c r="H8" s="326"/>
    </row>
    <row r="9" spans="1:8" ht="16.5" customHeight="1" x14ac:dyDescent="0.3">
      <c r="A9" s="419" t="s">
        <v>218</v>
      </c>
      <c r="B9" s="419"/>
      <c r="C9" s="419"/>
      <c r="D9" s="419"/>
      <c r="E9" s="419"/>
      <c r="F9" s="419"/>
      <c r="G9" s="419"/>
    </row>
    <row r="10" spans="1:8" ht="16.5" customHeight="1" x14ac:dyDescent="0.3">
      <c r="A10" s="395" t="s">
        <v>345</v>
      </c>
      <c r="B10" s="395"/>
      <c r="C10" s="395"/>
      <c r="D10" s="395"/>
      <c r="E10" s="395"/>
      <c r="F10" s="395"/>
      <c r="G10" s="395"/>
    </row>
    <row r="11" spans="1:8" ht="37.5" customHeight="1" x14ac:dyDescent="0.3">
      <c r="A11" s="395"/>
      <c r="B11" s="395"/>
      <c r="C11" s="395"/>
      <c r="D11" s="395"/>
      <c r="E11" s="395"/>
      <c r="F11" s="395"/>
      <c r="G11" s="395"/>
    </row>
    <row r="12" spans="1:8" ht="16.5" customHeight="1" x14ac:dyDescent="0.3">
      <c r="A12" s="395"/>
      <c r="B12" s="395"/>
      <c r="C12" s="395"/>
      <c r="D12" s="395"/>
      <c r="E12" s="395"/>
      <c r="F12" s="395"/>
      <c r="G12" s="395"/>
    </row>
    <row r="13" spans="1:8" x14ac:dyDescent="0.3">
      <c r="A13" s="395"/>
      <c r="B13" s="395"/>
      <c r="C13" s="395"/>
      <c r="D13" s="395"/>
      <c r="E13" s="395"/>
      <c r="F13" s="395"/>
      <c r="G13" s="395"/>
    </row>
    <row r="14" spans="1:8" ht="28.5" customHeight="1" x14ac:dyDescent="0.3">
      <c r="A14" s="395"/>
      <c r="B14" s="395"/>
      <c r="C14" s="395"/>
      <c r="D14" s="395"/>
      <c r="E14" s="395"/>
      <c r="F14" s="395"/>
      <c r="G14" s="395"/>
    </row>
    <row r="15" spans="1:8" ht="16.5" customHeight="1" x14ac:dyDescent="0.3">
      <c r="A15" s="330"/>
      <c r="B15" s="330"/>
      <c r="C15" s="330"/>
      <c r="D15" s="330"/>
      <c r="E15" s="330"/>
      <c r="F15" s="330"/>
      <c r="G15" s="330"/>
    </row>
    <row r="16" spans="1:8" ht="16.5" customHeight="1" x14ac:dyDescent="0.3">
      <c r="A16" s="439" t="s">
        <v>219</v>
      </c>
      <c r="B16" s="439"/>
      <c r="C16" s="439"/>
      <c r="D16" s="439"/>
      <c r="E16" s="439"/>
      <c r="F16" s="439"/>
      <c r="G16" s="439"/>
    </row>
    <row r="17" spans="1:8" ht="16.5" customHeight="1" x14ac:dyDescent="0.3">
      <c r="A17" s="395" t="s">
        <v>284</v>
      </c>
      <c r="B17" s="395"/>
      <c r="C17" s="395"/>
      <c r="D17" s="395"/>
      <c r="E17" s="395"/>
      <c r="F17" s="395"/>
      <c r="G17" s="395"/>
    </row>
    <row r="18" spans="1:8" ht="37.5" customHeight="1" x14ac:dyDescent="0.3">
      <c r="A18" s="395"/>
      <c r="B18" s="395"/>
      <c r="C18" s="395"/>
      <c r="D18" s="395"/>
      <c r="E18" s="395"/>
      <c r="F18" s="395"/>
      <c r="G18" s="395"/>
    </row>
    <row r="19" spans="1:8" ht="16.5" customHeight="1" x14ac:dyDescent="0.3"/>
    <row r="20" spans="1:8" ht="29.25" customHeight="1" x14ac:dyDescent="0.3">
      <c r="A20" s="439" t="s">
        <v>279</v>
      </c>
      <c r="B20" s="439"/>
      <c r="C20" s="439"/>
      <c r="D20" s="439"/>
      <c r="E20" s="439"/>
      <c r="F20" s="439"/>
      <c r="G20" s="439"/>
      <c r="H20" s="322"/>
    </row>
    <row r="21" spans="1:8" ht="9" customHeight="1" x14ac:dyDescent="0.3">
      <c r="A21" s="395" t="s">
        <v>346</v>
      </c>
      <c r="B21" s="395"/>
      <c r="C21" s="395"/>
      <c r="D21" s="395"/>
      <c r="E21" s="395"/>
      <c r="F21" s="395"/>
      <c r="G21" s="395"/>
    </row>
    <row r="22" spans="1:8" ht="11.25" customHeight="1" x14ac:dyDescent="0.3">
      <c r="A22" s="395"/>
      <c r="B22" s="395"/>
      <c r="C22" s="395"/>
      <c r="D22" s="395"/>
      <c r="E22" s="395"/>
      <c r="F22" s="395"/>
      <c r="G22" s="395"/>
    </row>
    <row r="23" spans="1:8" ht="9" customHeight="1" x14ac:dyDescent="0.3">
      <c r="A23" s="395"/>
      <c r="B23" s="395"/>
      <c r="C23" s="395"/>
      <c r="D23" s="395"/>
      <c r="E23" s="395"/>
      <c r="F23" s="395"/>
      <c r="G23" s="395"/>
    </row>
    <row r="24" spans="1:8" ht="9.75" customHeight="1" x14ac:dyDescent="0.3">
      <c r="A24" s="395"/>
      <c r="B24" s="395"/>
      <c r="C24" s="395"/>
      <c r="D24" s="395"/>
      <c r="E24" s="395"/>
      <c r="F24" s="395"/>
      <c r="G24" s="395"/>
    </row>
    <row r="25" spans="1:8" ht="27.75" customHeight="1" x14ac:dyDescent="0.3">
      <c r="A25" s="395"/>
      <c r="B25" s="395"/>
      <c r="C25" s="395"/>
      <c r="D25" s="395"/>
      <c r="E25" s="395"/>
      <c r="F25" s="395"/>
      <c r="G25" s="395"/>
    </row>
    <row r="26" spans="1:8" ht="27.75" customHeight="1" x14ac:dyDescent="0.3">
      <c r="A26" s="395"/>
      <c r="B26" s="395"/>
      <c r="C26" s="395"/>
      <c r="D26" s="395"/>
      <c r="E26" s="395"/>
      <c r="F26" s="395"/>
      <c r="G26" s="395"/>
    </row>
    <row r="27" spans="1:8" ht="15" customHeight="1" x14ac:dyDescent="0.3">
      <c r="A27" s="388"/>
      <c r="B27" s="388"/>
      <c r="C27" s="388"/>
      <c r="D27" s="388"/>
      <c r="E27" s="388"/>
      <c r="F27" s="388"/>
      <c r="G27" s="388"/>
    </row>
    <row r="28" spans="1:8" ht="20.25" customHeight="1" x14ac:dyDescent="0.3">
      <c r="A28" s="419" t="s">
        <v>285</v>
      </c>
      <c r="B28" s="419"/>
      <c r="C28" s="419"/>
      <c r="D28" s="419"/>
      <c r="E28" s="419"/>
      <c r="F28" s="419"/>
      <c r="G28" s="419"/>
    </row>
    <row r="29" spans="1:8" ht="19.5" customHeight="1" x14ac:dyDescent="0.3">
      <c r="A29" s="395" t="s">
        <v>347</v>
      </c>
      <c r="B29" s="395"/>
      <c r="C29" s="395"/>
      <c r="D29" s="395"/>
      <c r="E29" s="395"/>
      <c r="F29" s="395"/>
      <c r="G29" s="395"/>
    </row>
    <row r="30" spans="1:8" x14ac:dyDescent="0.3">
      <c r="A30" s="395"/>
      <c r="B30" s="395"/>
      <c r="C30" s="395"/>
      <c r="D30" s="395"/>
      <c r="E30" s="395"/>
      <c r="F30" s="395"/>
      <c r="G30" s="395"/>
    </row>
    <row r="31" spans="1:8" x14ac:dyDescent="0.3">
      <c r="A31" s="395"/>
      <c r="B31" s="395"/>
      <c r="C31" s="395"/>
      <c r="D31" s="395"/>
      <c r="E31" s="395"/>
      <c r="F31" s="395"/>
      <c r="G31" s="395"/>
    </row>
    <row r="32" spans="1:8" x14ac:dyDescent="0.3">
      <c r="A32" s="395"/>
      <c r="B32" s="395"/>
      <c r="C32" s="395"/>
      <c r="D32" s="395"/>
      <c r="E32" s="395"/>
      <c r="F32" s="395"/>
      <c r="G32" s="395"/>
    </row>
    <row r="33" spans="1:8" x14ac:dyDescent="0.3">
      <c r="A33" s="395"/>
      <c r="B33" s="395"/>
      <c r="C33" s="395"/>
      <c r="D33" s="395"/>
      <c r="E33" s="395"/>
      <c r="F33" s="395"/>
      <c r="G33" s="395"/>
    </row>
    <row r="34" spans="1:8" ht="57.75" customHeight="1" x14ac:dyDescent="0.3">
      <c r="A34" s="323"/>
      <c r="B34" s="395" t="s">
        <v>144</v>
      </c>
      <c r="C34" s="395"/>
      <c r="D34" s="395"/>
      <c r="E34" s="395"/>
      <c r="F34" s="395"/>
      <c r="G34" s="395"/>
      <c r="H34" s="323"/>
    </row>
    <row r="35" spans="1:8" ht="284.25" customHeight="1" x14ac:dyDescent="0.3">
      <c r="B35" s="395" t="s">
        <v>286</v>
      </c>
      <c r="C35" s="395"/>
      <c r="D35" s="395"/>
      <c r="E35" s="395"/>
      <c r="F35" s="395"/>
      <c r="G35" s="395"/>
    </row>
    <row r="36" spans="1:8" ht="24" customHeight="1" x14ac:dyDescent="0.3">
      <c r="B36" s="395" t="s">
        <v>348</v>
      </c>
      <c r="C36" s="395"/>
      <c r="D36" s="395"/>
      <c r="E36" s="395"/>
      <c r="F36" s="395"/>
      <c r="G36" s="395"/>
    </row>
    <row r="37" spans="1:8" x14ac:dyDescent="0.3">
      <c r="B37" s="395"/>
      <c r="C37" s="395"/>
      <c r="D37" s="395"/>
      <c r="E37" s="395"/>
      <c r="F37" s="395"/>
      <c r="G37" s="395"/>
    </row>
    <row r="38" spans="1:8" ht="18.75" customHeight="1" x14ac:dyDescent="0.3">
      <c r="B38" s="395"/>
      <c r="C38" s="395"/>
      <c r="D38" s="395"/>
      <c r="E38" s="395"/>
      <c r="F38" s="395"/>
      <c r="G38" s="395"/>
    </row>
    <row r="39" spans="1:8" ht="18.75" customHeight="1" x14ac:dyDescent="0.3">
      <c r="B39" s="378"/>
      <c r="C39" s="378"/>
      <c r="D39" s="378"/>
      <c r="E39" s="378"/>
      <c r="F39" s="378"/>
      <c r="G39" s="378"/>
    </row>
    <row r="40" spans="1:8" ht="18.75" customHeight="1" x14ac:dyDescent="0.3">
      <c r="A40" s="439" t="s">
        <v>288</v>
      </c>
      <c r="B40" s="439"/>
      <c r="C40" s="439"/>
      <c r="D40" s="439"/>
      <c r="E40" s="439"/>
      <c r="F40" s="439"/>
      <c r="G40" s="439"/>
    </row>
    <row r="41" spans="1:8" ht="18.75" customHeight="1" x14ac:dyDescent="0.3">
      <c r="A41" s="439"/>
      <c r="B41" s="439"/>
      <c r="C41" s="439"/>
      <c r="D41" s="439"/>
      <c r="E41" s="439"/>
      <c r="F41" s="439"/>
      <c r="G41" s="439"/>
    </row>
    <row r="42" spans="1:8" ht="18.75" customHeight="1" x14ac:dyDescent="0.3">
      <c r="A42" s="395" t="s">
        <v>349</v>
      </c>
      <c r="B42" s="395"/>
      <c r="C42" s="395"/>
      <c r="D42" s="395"/>
      <c r="E42" s="395"/>
      <c r="F42" s="395"/>
      <c r="G42" s="395"/>
    </row>
    <row r="43" spans="1:8" ht="18.75" customHeight="1" x14ac:dyDescent="0.3">
      <c r="A43" s="395"/>
      <c r="B43" s="395"/>
      <c r="C43" s="395"/>
      <c r="D43" s="395"/>
      <c r="E43" s="395"/>
      <c r="F43" s="395"/>
      <c r="G43" s="395"/>
    </row>
    <row r="44" spans="1:8" ht="18.75" customHeight="1" x14ac:dyDescent="0.3">
      <c r="A44" s="395"/>
      <c r="B44" s="395"/>
      <c r="C44" s="395"/>
      <c r="D44" s="395"/>
      <c r="E44" s="395"/>
      <c r="F44" s="395"/>
      <c r="G44" s="395"/>
    </row>
    <row r="45" spans="1:8" ht="18.75" customHeight="1" x14ac:dyDescent="0.3">
      <c r="A45" s="395"/>
      <c r="B45" s="395"/>
      <c r="C45" s="395"/>
      <c r="D45" s="395"/>
      <c r="E45" s="395"/>
      <c r="F45" s="395"/>
      <c r="G45" s="395"/>
    </row>
    <row r="46" spans="1:8" ht="18.75" customHeight="1" x14ac:dyDescent="0.3">
      <c r="A46" s="395"/>
      <c r="B46" s="395"/>
      <c r="C46" s="395"/>
      <c r="D46" s="395"/>
      <c r="E46" s="395"/>
      <c r="F46" s="395"/>
      <c r="G46" s="395"/>
    </row>
    <row r="47" spans="1:8" ht="18.75" customHeight="1" x14ac:dyDescent="0.3">
      <c r="A47" s="395"/>
      <c r="B47" s="395"/>
      <c r="C47" s="395"/>
      <c r="D47" s="395"/>
      <c r="E47" s="395"/>
      <c r="F47" s="395"/>
      <c r="G47" s="395"/>
    </row>
    <row r="48" spans="1:8" ht="18.75" customHeight="1" x14ac:dyDescent="0.3">
      <c r="B48" s="388"/>
      <c r="C48" s="388"/>
      <c r="D48" s="388"/>
      <c r="E48" s="388"/>
      <c r="F48" s="388"/>
      <c r="G48" s="388"/>
    </row>
    <row r="49" spans="1:7" ht="18.75" customHeight="1" x14ac:dyDescent="0.3">
      <c r="A49" s="439" t="s">
        <v>289</v>
      </c>
      <c r="B49" s="439"/>
      <c r="C49" s="439"/>
      <c r="D49" s="439"/>
      <c r="E49" s="439"/>
      <c r="F49" s="439"/>
      <c r="G49" s="439"/>
    </row>
    <row r="50" spans="1:7" ht="18.75" customHeight="1" x14ac:dyDescent="0.3">
      <c r="A50" s="439"/>
      <c r="B50" s="439"/>
      <c r="C50" s="439"/>
      <c r="D50" s="439"/>
      <c r="E50" s="439"/>
      <c r="F50" s="439"/>
      <c r="G50" s="439"/>
    </row>
    <row r="51" spans="1:7" ht="18.75" customHeight="1" x14ac:dyDescent="0.3">
      <c r="A51" s="395" t="s">
        <v>350</v>
      </c>
      <c r="B51" s="395"/>
      <c r="C51" s="395"/>
      <c r="D51" s="395"/>
      <c r="E51" s="395"/>
      <c r="F51" s="395"/>
      <c r="G51" s="395"/>
    </row>
    <row r="52" spans="1:7" ht="18.75" customHeight="1" x14ac:dyDescent="0.3">
      <c r="A52" s="395"/>
      <c r="B52" s="395"/>
      <c r="C52" s="395"/>
      <c r="D52" s="395"/>
      <c r="E52" s="395"/>
      <c r="F52" s="395"/>
      <c r="G52" s="395"/>
    </row>
    <row r="53" spans="1:7" ht="18.75" customHeight="1" x14ac:dyDescent="0.3">
      <c r="A53" s="395"/>
      <c r="B53" s="395"/>
      <c r="C53" s="395"/>
      <c r="D53" s="395"/>
      <c r="E53" s="395"/>
      <c r="F53" s="395"/>
      <c r="G53" s="395"/>
    </row>
    <row r="54" spans="1:7" ht="18.75" customHeight="1" x14ac:dyDescent="0.3">
      <c r="A54" s="395"/>
      <c r="B54" s="395"/>
      <c r="C54" s="395"/>
      <c r="D54" s="395"/>
      <c r="E54" s="395"/>
      <c r="F54" s="395"/>
      <c r="G54" s="395"/>
    </row>
    <row r="55" spans="1:7" ht="18.75" customHeight="1" x14ac:dyDescent="0.3">
      <c r="A55" s="395"/>
      <c r="B55" s="395"/>
      <c r="C55" s="395"/>
      <c r="D55" s="395"/>
      <c r="E55" s="395"/>
      <c r="F55" s="395"/>
      <c r="G55" s="395"/>
    </row>
    <row r="56" spans="1:7" ht="36.75" customHeight="1" x14ac:dyDescent="0.3">
      <c r="A56" s="395"/>
      <c r="B56" s="395"/>
      <c r="C56" s="395"/>
      <c r="D56" s="395"/>
      <c r="E56" s="395"/>
      <c r="F56" s="395"/>
      <c r="G56" s="395"/>
    </row>
    <row r="57" spans="1:7" x14ac:dyDescent="0.3"/>
    <row r="58" spans="1:7" x14ac:dyDescent="0.3">
      <c r="A58" s="419" t="s">
        <v>290</v>
      </c>
      <c r="B58" s="419"/>
      <c r="C58" s="419"/>
      <c r="D58" s="419"/>
      <c r="E58" s="419"/>
      <c r="F58" s="419"/>
      <c r="G58" s="419"/>
    </row>
    <row r="59" spans="1:7" x14ac:dyDescent="0.3">
      <c r="A59" s="395" t="s">
        <v>351</v>
      </c>
      <c r="B59" s="395"/>
      <c r="C59" s="395"/>
      <c r="D59" s="395"/>
      <c r="E59" s="395"/>
      <c r="F59" s="395"/>
      <c r="G59" s="395"/>
    </row>
    <row r="60" spans="1:7" x14ac:dyDescent="0.3">
      <c r="A60" s="395"/>
      <c r="B60" s="395"/>
      <c r="C60" s="395"/>
      <c r="D60" s="395"/>
      <c r="E60" s="395"/>
      <c r="F60" s="395"/>
      <c r="G60" s="395"/>
    </row>
    <row r="61" spans="1:7" x14ac:dyDescent="0.3">
      <c r="A61" s="395"/>
      <c r="B61" s="395"/>
      <c r="C61" s="395"/>
      <c r="D61" s="395"/>
      <c r="E61" s="395"/>
      <c r="F61" s="395"/>
      <c r="G61" s="395"/>
    </row>
    <row r="62" spans="1:7" x14ac:dyDescent="0.3">
      <c r="A62" s="395"/>
      <c r="B62" s="395"/>
      <c r="C62" s="395"/>
      <c r="D62" s="395"/>
      <c r="E62" s="395"/>
      <c r="F62" s="395"/>
      <c r="G62" s="395"/>
    </row>
    <row r="63" spans="1:7" x14ac:dyDescent="0.3">
      <c r="A63" s="395"/>
      <c r="B63" s="395"/>
      <c r="C63" s="395"/>
      <c r="D63" s="395"/>
      <c r="E63" s="395"/>
      <c r="F63" s="395"/>
      <c r="G63" s="395"/>
    </row>
    <row r="64" spans="1:7" x14ac:dyDescent="0.3">
      <c r="A64" s="395"/>
      <c r="B64" s="395"/>
      <c r="C64" s="395"/>
      <c r="D64" s="395"/>
      <c r="E64" s="395"/>
      <c r="F64" s="395"/>
      <c r="G64" s="395"/>
    </row>
    <row r="65" spans="1:7" x14ac:dyDescent="0.3">
      <c r="A65" s="395"/>
      <c r="B65" s="395"/>
      <c r="C65" s="395"/>
      <c r="D65" s="395"/>
      <c r="E65" s="395"/>
      <c r="F65" s="395"/>
      <c r="G65" s="395"/>
    </row>
    <row r="66" spans="1:7" ht="15.75" customHeight="1" x14ac:dyDescent="0.3">
      <c r="A66" s="395"/>
      <c r="B66" s="395"/>
      <c r="C66" s="395"/>
      <c r="D66" s="395"/>
      <c r="E66" s="395"/>
      <c r="F66" s="395"/>
      <c r="G66" s="395"/>
    </row>
    <row r="67" spans="1:7" x14ac:dyDescent="0.3">
      <c r="A67" s="395"/>
      <c r="B67" s="395"/>
      <c r="C67" s="395"/>
      <c r="D67" s="395"/>
      <c r="E67" s="395"/>
      <c r="F67" s="395"/>
      <c r="G67" s="395"/>
    </row>
    <row r="68" spans="1:7" x14ac:dyDescent="0.3">
      <c r="A68" s="395"/>
      <c r="B68" s="395"/>
      <c r="C68" s="395"/>
      <c r="D68" s="395"/>
      <c r="E68" s="395"/>
      <c r="F68" s="395"/>
      <c r="G68" s="395"/>
    </row>
    <row r="69" spans="1:7" x14ac:dyDescent="0.3">
      <c r="A69" s="395"/>
      <c r="B69" s="395"/>
      <c r="C69" s="395"/>
      <c r="D69" s="395"/>
      <c r="E69" s="395"/>
      <c r="F69" s="395"/>
      <c r="G69" s="395"/>
    </row>
    <row r="70" spans="1:7" x14ac:dyDescent="0.3"/>
    <row r="71" spans="1:7" x14ac:dyDescent="0.3">
      <c r="A71" s="419" t="s">
        <v>291</v>
      </c>
      <c r="B71" s="419"/>
      <c r="C71" s="419"/>
      <c r="D71" s="419"/>
      <c r="E71" s="419"/>
      <c r="F71" s="419"/>
      <c r="G71" s="419"/>
    </row>
    <row r="72" spans="1:7" x14ac:dyDescent="0.3">
      <c r="A72" s="395" t="s">
        <v>287</v>
      </c>
      <c r="B72" s="395"/>
      <c r="C72" s="395"/>
      <c r="D72" s="395"/>
      <c r="E72" s="395"/>
      <c r="F72" s="395"/>
      <c r="G72" s="395"/>
    </row>
    <row r="73" spans="1:7" ht="15.75" customHeight="1" x14ac:dyDescent="0.3">
      <c r="A73" s="395"/>
      <c r="B73" s="395"/>
      <c r="C73" s="395"/>
      <c r="D73" s="395"/>
      <c r="E73" s="395"/>
      <c r="F73" s="395"/>
      <c r="G73" s="395"/>
    </row>
    <row r="74" spans="1:7" x14ac:dyDescent="0.3">
      <c r="A74" s="395"/>
      <c r="B74" s="395"/>
      <c r="C74" s="395"/>
      <c r="D74" s="395"/>
      <c r="E74" s="395"/>
      <c r="F74" s="395"/>
      <c r="G74" s="395"/>
    </row>
    <row r="75" spans="1:7" ht="16.5" customHeight="1" x14ac:dyDescent="0.3">
      <c r="A75" s="395"/>
      <c r="B75" s="395"/>
      <c r="C75" s="395"/>
      <c r="D75" s="395"/>
      <c r="E75" s="395"/>
      <c r="F75" s="395"/>
      <c r="G75" s="395"/>
    </row>
    <row r="76" spans="1:7" ht="14.25" customHeight="1" x14ac:dyDescent="0.3">
      <c r="A76" s="395"/>
      <c r="B76" s="395"/>
      <c r="C76" s="395"/>
      <c r="D76" s="395"/>
      <c r="E76" s="395"/>
      <c r="F76" s="395"/>
      <c r="G76" s="395"/>
    </row>
    <row r="77" spans="1:7" ht="14.25" customHeight="1" x14ac:dyDescent="0.3">
      <c r="A77" s="395"/>
      <c r="B77" s="395"/>
      <c r="C77" s="395"/>
      <c r="D77" s="395"/>
      <c r="E77" s="395"/>
      <c r="F77" s="395"/>
      <c r="G77" s="395"/>
    </row>
    <row r="78" spans="1:7" ht="14.25" customHeight="1" x14ac:dyDescent="0.3">
      <c r="A78" s="395"/>
      <c r="B78" s="395"/>
      <c r="C78" s="395"/>
      <c r="D78" s="395"/>
      <c r="E78" s="395"/>
      <c r="F78" s="395"/>
      <c r="G78" s="395"/>
    </row>
    <row r="79" spans="1:7" ht="14.25" customHeight="1" x14ac:dyDescent="0.3">
      <c r="A79" s="395"/>
      <c r="B79" s="395"/>
      <c r="C79" s="395"/>
      <c r="D79" s="395"/>
      <c r="E79" s="395"/>
      <c r="F79" s="395"/>
      <c r="G79" s="395"/>
    </row>
    <row r="80" spans="1:7" ht="14.25" customHeight="1" x14ac:dyDescent="0.3">
      <c r="A80" s="395"/>
      <c r="B80" s="395"/>
      <c r="C80" s="395"/>
      <c r="D80" s="395"/>
      <c r="E80" s="395"/>
      <c r="F80" s="395"/>
      <c r="G80" s="395"/>
    </row>
    <row r="81" spans="1:7" ht="16.5" customHeight="1" x14ac:dyDescent="0.3">
      <c r="A81" s="217"/>
      <c r="B81" s="217"/>
      <c r="C81" s="217"/>
      <c r="D81" s="217"/>
      <c r="E81" s="217"/>
      <c r="F81" s="217"/>
      <c r="G81" s="217"/>
    </row>
    <row r="82" spans="1:7" ht="16.5" customHeight="1" x14ac:dyDescent="0.3">
      <c r="A82" s="439" t="s">
        <v>292</v>
      </c>
      <c r="B82" s="439"/>
      <c r="C82" s="439"/>
      <c r="D82" s="439"/>
      <c r="E82" s="439"/>
      <c r="F82" s="439"/>
      <c r="G82" s="439"/>
    </row>
    <row r="83" spans="1:7" ht="51" customHeight="1" x14ac:dyDescent="0.3">
      <c r="A83" s="217"/>
      <c r="B83" s="219" t="s">
        <v>145</v>
      </c>
      <c r="C83" s="217"/>
      <c r="D83" s="395" t="s">
        <v>148</v>
      </c>
      <c r="E83" s="395"/>
      <c r="F83" s="395"/>
      <c r="G83" s="395"/>
    </row>
    <row r="84" spans="1:7" ht="39" customHeight="1" x14ac:dyDescent="0.3">
      <c r="A84" s="217"/>
      <c r="B84" s="219" t="s">
        <v>146</v>
      </c>
      <c r="C84" s="217"/>
      <c r="D84" s="395" t="s">
        <v>149</v>
      </c>
      <c r="E84" s="395"/>
      <c r="F84" s="395"/>
      <c r="G84" s="395"/>
    </row>
    <row r="85" spans="1:7" ht="58.5" customHeight="1" x14ac:dyDescent="0.3">
      <c r="A85" s="217"/>
      <c r="B85" s="219" t="s">
        <v>147</v>
      </c>
      <c r="C85" s="217"/>
      <c r="D85" s="395" t="s">
        <v>150</v>
      </c>
      <c r="E85" s="395"/>
      <c r="F85" s="395"/>
      <c r="G85" s="395"/>
    </row>
    <row r="86" spans="1:7" ht="64.5" customHeight="1" x14ac:dyDescent="0.3">
      <c r="A86" s="217"/>
      <c r="B86" s="219" t="s">
        <v>30</v>
      </c>
      <c r="C86" s="217"/>
      <c r="D86" s="395" t="s">
        <v>151</v>
      </c>
      <c r="E86" s="395"/>
      <c r="F86" s="395"/>
      <c r="G86" s="395"/>
    </row>
    <row r="87" spans="1:7" ht="54" customHeight="1" x14ac:dyDescent="0.3">
      <c r="A87" s="217"/>
      <c r="B87" s="219" t="s">
        <v>28</v>
      </c>
      <c r="C87" s="217"/>
      <c r="D87" s="395" t="s">
        <v>152</v>
      </c>
      <c r="E87" s="395"/>
      <c r="F87" s="395"/>
      <c r="G87" s="395"/>
    </row>
    <row r="88" spans="1:7" x14ac:dyDescent="0.3">
      <c r="A88" s="217"/>
      <c r="B88" s="219"/>
      <c r="C88" s="217"/>
      <c r="D88" s="320"/>
      <c r="E88" s="320"/>
      <c r="F88" s="320"/>
      <c r="G88" s="320"/>
    </row>
    <row r="89" spans="1:7" x14ac:dyDescent="0.3">
      <c r="A89" s="419" t="s">
        <v>293</v>
      </c>
      <c r="B89" s="419"/>
      <c r="C89" s="419"/>
      <c r="D89" s="419"/>
      <c r="E89" s="419"/>
      <c r="F89" s="419"/>
      <c r="G89" s="419"/>
    </row>
    <row r="90" spans="1:7" ht="16.5" customHeight="1" x14ac:dyDescent="0.3">
      <c r="A90" s="395" t="s">
        <v>265</v>
      </c>
      <c r="B90" s="395"/>
      <c r="C90" s="395"/>
      <c r="D90" s="395"/>
      <c r="E90" s="395"/>
      <c r="F90" s="395"/>
      <c r="G90" s="395"/>
    </row>
    <row r="91" spans="1:7" ht="16.5" customHeight="1" x14ac:dyDescent="0.3">
      <c r="A91" s="395"/>
      <c r="B91" s="395"/>
      <c r="C91" s="395"/>
      <c r="D91" s="395"/>
      <c r="E91" s="395"/>
      <c r="F91" s="395"/>
      <c r="G91" s="395"/>
    </row>
    <row r="92" spans="1:7" ht="16.5" customHeight="1" x14ac:dyDescent="0.3">
      <c r="A92" s="395"/>
      <c r="B92" s="395"/>
      <c r="C92" s="395"/>
      <c r="D92" s="395"/>
      <c r="E92" s="395"/>
      <c r="F92" s="395"/>
      <c r="G92" s="395"/>
    </row>
    <row r="93" spans="1:7" x14ac:dyDescent="0.3">
      <c r="A93" s="395"/>
      <c r="B93" s="395"/>
      <c r="C93" s="395"/>
      <c r="D93" s="395"/>
      <c r="E93" s="395"/>
      <c r="F93" s="395"/>
      <c r="G93" s="395"/>
    </row>
    <row r="94" spans="1:7" x14ac:dyDescent="0.3">
      <c r="A94" s="395"/>
      <c r="B94" s="395"/>
      <c r="C94" s="395"/>
      <c r="D94" s="395"/>
      <c r="E94" s="395"/>
      <c r="F94" s="395"/>
      <c r="G94" s="395"/>
    </row>
    <row r="95" spans="1:7" x14ac:dyDescent="0.3">
      <c r="A95" s="395"/>
      <c r="B95" s="395"/>
      <c r="C95" s="395"/>
      <c r="D95" s="395"/>
      <c r="E95" s="395"/>
      <c r="F95" s="395"/>
      <c r="G95" s="395"/>
    </row>
    <row r="96" spans="1:7" x14ac:dyDescent="0.3">
      <c r="A96" s="395"/>
      <c r="B96" s="395"/>
      <c r="C96" s="395"/>
      <c r="D96" s="395"/>
      <c r="E96" s="395"/>
      <c r="F96" s="395"/>
      <c r="G96" s="395"/>
    </row>
    <row r="97" spans="1:7" x14ac:dyDescent="0.3">
      <c r="B97" s="217"/>
      <c r="C97" s="217"/>
      <c r="D97" s="217"/>
      <c r="E97" s="217"/>
      <c r="F97" s="217"/>
      <c r="G97" s="217"/>
    </row>
    <row r="98" spans="1:7" x14ac:dyDescent="0.3">
      <c r="A98" s="439" t="s">
        <v>294</v>
      </c>
      <c r="B98" s="439"/>
      <c r="C98" s="439"/>
      <c r="D98" s="439"/>
      <c r="E98" s="439"/>
      <c r="F98" s="439"/>
      <c r="G98" s="439"/>
    </row>
    <row r="99" spans="1:7" x14ac:dyDescent="0.3">
      <c r="A99" s="395" t="s">
        <v>266</v>
      </c>
      <c r="B99" s="395"/>
      <c r="C99" s="395"/>
      <c r="D99" s="395"/>
      <c r="E99" s="395"/>
      <c r="F99" s="395"/>
      <c r="G99" s="395"/>
    </row>
    <row r="100" spans="1:7" x14ac:dyDescent="0.3">
      <c r="A100" s="395"/>
      <c r="B100" s="395"/>
      <c r="C100" s="395"/>
      <c r="D100" s="395"/>
      <c r="E100" s="395"/>
      <c r="F100" s="395"/>
      <c r="G100" s="395"/>
    </row>
    <row r="101" spans="1:7" x14ac:dyDescent="0.3">
      <c r="A101" s="395"/>
      <c r="B101" s="395"/>
      <c r="C101" s="395"/>
      <c r="D101" s="395"/>
      <c r="E101" s="395"/>
      <c r="F101" s="395"/>
      <c r="G101" s="395"/>
    </row>
    <row r="102" spans="1:7" x14ac:dyDescent="0.3">
      <c r="A102" s="395"/>
      <c r="B102" s="395"/>
      <c r="C102" s="395"/>
      <c r="D102" s="395"/>
      <c r="E102" s="395"/>
      <c r="F102" s="395"/>
      <c r="G102" s="395"/>
    </row>
    <row r="103" spans="1:7" x14ac:dyDescent="0.3">
      <c r="A103" s="395"/>
      <c r="B103" s="395"/>
      <c r="C103" s="395"/>
      <c r="D103" s="395"/>
      <c r="E103" s="395"/>
      <c r="F103" s="395"/>
      <c r="G103" s="395"/>
    </row>
    <row r="104" spans="1:7" x14ac:dyDescent="0.3">
      <c r="A104" s="395"/>
      <c r="B104" s="395"/>
      <c r="C104" s="395"/>
      <c r="D104" s="395"/>
      <c r="E104" s="395"/>
      <c r="F104" s="395"/>
      <c r="G104" s="395"/>
    </row>
    <row r="105" spans="1:7" x14ac:dyDescent="0.3">
      <c r="A105" s="395"/>
      <c r="B105" s="395"/>
      <c r="C105" s="395"/>
      <c r="D105" s="395"/>
      <c r="E105" s="395"/>
      <c r="F105" s="395"/>
      <c r="G105" s="395"/>
    </row>
    <row r="106" spans="1:7" x14ac:dyDescent="0.3">
      <c r="A106" s="217"/>
      <c r="B106" s="217"/>
      <c r="C106" s="217"/>
      <c r="D106" s="217"/>
      <c r="E106" s="217"/>
      <c r="F106" s="217"/>
      <c r="G106" s="217"/>
    </row>
    <row r="107" spans="1:7" x14ac:dyDescent="0.3">
      <c r="A107" s="439" t="s">
        <v>295</v>
      </c>
      <c r="B107" s="439"/>
      <c r="C107" s="439"/>
      <c r="D107" s="439"/>
      <c r="E107" s="439"/>
      <c r="F107" s="439"/>
      <c r="G107" s="439"/>
    </row>
    <row r="108" spans="1:7" x14ac:dyDescent="0.3">
      <c r="A108" s="321"/>
      <c r="B108" s="325" t="s">
        <v>32</v>
      </c>
      <c r="C108" s="323" t="s">
        <v>4</v>
      </c>
      <c r="D108" s="321"/>
      <c r="E108" s="321"/>
      <c r="F108" s="321"/>
      <c r="G108" s="321"/>
    </row>
    <row r="109" spans="1:7" x14ac:dyDescent="0.3">
      <c r="A109" s="321"/>
      <c r="B109" s="325" t="s">
        <v>153</v>
      </c>
      <c r="C109" s="323" t="s">
        <v>156</v>
      </c>
      <c r="D109" s="321"/>
      <c r="E109" s="321"/>
      <c r="F109" s="321"/>
      <c r="G109" s="321"/>
    </row>
    <row r="110" spans="1:7" x14ac:dyDescent="0.3">
      <c r="A110" s="321"/>
      <c r="B110" s="325" t="s">
        <v>162</v>
      </c>
      <c r="C110" s="323" t="s">
        <v>163</v>
      </c>
      <c r="D110" s="321"/>
      <c r="E110" s="321"/>
      <c r="F110" s="321"/>
      <c r="G110" s="321"/>
    </row>
    <row r="111" spans="1:7" x14ac:dyDescent="0.3">
      <c r="A111" s="321"/>
      <c r="B111" s="325" t="s">
        <v>160</v>
      </c>
      <c r="C111" s="323" t="s">
        <v>161</v>
      </c>
      <c r="D111" s="321"/>
      <c r="E111" s="321"/>
      <c r="F111" s="321"/>
      <c r="G111" s="321"/>
    </row>
    <row r="112" spans="1:7" x14ac:dyDescent="0.3">
      <c r="A112" s="321"/>
      <c r="B112" s="325" t="s">
        <v>154</v>
      </c>
      <c r="C112" s="323" t="s">
        <v>157</v>
      </c>
      <c r="D112" s="321"/>
      <c r="E112" s="321"/>
      <c r="F112" s="321"/>
      <c r="G112" s="321"/>
    </row>
    <row r="113" spans="1:7" ht="16.5" customHeight="1" x14ac:dyDescent="0.3">
      <c r="A113" s="321"/>
      <c r="B113" s="325" t="s">
        <v>27</v>
      </c>
      <c r="C113" s="323" t="s">
        <v>158</v>
      </c>
      <c r="D113" s="321"/>
      <c r="E113" s="321"/>
      <c r="F113" s="321"/>
      <c r="G113" s="321"/>
    </row>
    <row r="114" spans="1:7" x14ac:dyDescent="0.3">
      <c r="A114" s="321"/>
      <c r="B114" s="325" t="s">
        <v>155</v>
      </c>
      <c r="C114" s="323" t="s">
        <v>159</v>
      </c>
      <c r="D114" s="321"/>
      <c r="E114" s="321"/>
      <c r="F114" s="321"/>
      <c r="G114" s="321"/>
    </row>
    <row r="115" spans="1:7" x14ac:dyDescent="0.3">
      <c r="A115" s="321"/>
      <c r="B115" s="325" t="s">
        <v>164</v>
      </c>
      <c r="C115" s="323" t="s">
        <v>241</v>
      </c>
      <c r="D115" s="321"/>
      <c r="E115" s="321"/>
      <c r="F115" s="321"/>
      <c r="G115" s="321"/>
    </row>
    <row r="116" spans="1:7" x14ac:dyDescent="0.3">
      <c r="A116" s="321"/>
      <c r="B116" s="325" t="s">
        <v>64</v>
      </c>
      <c r="C116" s="323" t="s">
        <v>17</v>
      </c>
      <c r="D116" s="321"/>
      <c r="E116" s="321"/>
      <c r="F116" s="321"/>
      <c r="G116" s="321"/>
    </row>
    <row r="117" spans="1:7" x14ac:dyDescent="0.3">
      <c r="A117" s="321"/>
      <c r="B117" s="325" t="s">
        <v>33</v>
      </c>
      <c r="C117" s="323" t="s">
        <v>3</v>
      </c>
      <c r="D117" s="321"/>
      <c r="E117" s="321"/>
      <c r="F117" s="321"/>
      <c r="G117" s="321"/>
    </row>
    <row r="118" spans="1:7" x14ac:dyDescent="0.3">
      <c r="A118" s="327"/>
      <c r="B118" s="325"/>
      <c r="C118" s="323"/>
      <c r="D118" s="327"/>
      <c r="E118" s="327"/>
      <c r="F118" s="327"/>
      <c r="G118" s="327"/>
    </row>
    <row r="119" spans="1:7" ht="18.75" customHeight="1" x14ac:dyDescent="0.3">
      <c r="A119" s="439" t="s">
        <v>296</v>
      </c>
      <c r="B119" s="439"/>
      <c r="C119" s="439"/>
      <c r="D119" s="439"/>
      <c r="E119" s="439"/>
      <c r="F119" s="439"/>
      <c r="G119" s="439"/>
    </row>
    <row r="120" spans="1:7" s="395" customFormat="1" ht="35.1" customHeight="1" x14ac:dyDescent="0.2">
      <c r="A120" s="395" t="s">
        <v>237</v>
      </c>
    </row>
    <row r="121" spans="1:7" s="388" customFormat="1" ht="16.5" customHeight="1" x14ac:dyDescent="0.2"/>
    <row r="122" spans="1:7" s="353" customFormat="1" ht="21.75" customHeight="1" x14ac:dyDescent="0.2">
      <c r="A122" s="439" t="s">
        <v>297</v>
      </c>
      <c r="B122" s="439"/>
      <c r="C122" s="439"/>
      <c r="D122" s="439"/>
      <c r="E122" s="439"/>
      <c r="F122" s="439"/>
      <c r="G122" s="439"/>
    </row>
    <row r="123" spans="1:7" s="353" customFormat="1" ht="51.75" customHeight="1" x14ac:dyDescent="0.2">
      <c r="A123" s="395" t="s">
        <v>267</v>
      </c>
      <c r="B123" s="395"/>
      <c r="C123" s="395"/>
      <c r="D123" s="395"/>
      <c r="E123" s="395"/>
      <c r="F123" s="395"/>
      <c r="G123" s="395"/>
    </row>
    <row r="124" spans="1:7" ht="16.5" customHeight="1" x14ac:dyDescent="0.3">
      <c r="A124" s="441"/>
      <c r="B124" s="441"/>
      <c r="C124" s="441"/>
      <c r="D124" s="441"/>
      <c r="E124" s="441"/>
      <c r="F124" s="441"/>
      <c r="G124" s="441"/>
    </row>
    <row r="125" spans="1:7" ht="19.5" customHeight="1" x14ac:dyDescent="0.3">
      <c r="A125" s="439" t="s">
        <v>298</v>
      </c>
      <c r="B125" s="439"/>
      <c r="C125" s="439"/>
      <c r="D125" s="439"/>
      <c r="E125" s="439"/>
      <c r="F125" s="439"/>
      <c r="G125" s="439"/>
    </row>
    <row r="126" spans="1:7" ht="117.75" customHeight="1" x14ac:dyDescent="0.3">
      <c r="A126" s="395" t="s">
        <v>268</v>
      </c>
      <c r="B126" s="395"/>
      <c r="C126" s="395"/>
      <c r="D126" s="395"/>
      <c r="E126" s="395"/>
      <c r="F126" s="395"/>
      <c r="G126" s="395"/>
    </row>
    <row r="127" spans="1:7" x14ac:dyDescent="0.3">
      <c r="A127" s="395"/>
      <c r="B127" s="395"/>
      <c r="C127" s="395"/>
      <c r="D127" s="395"/>
      <c r="E127" s="395"/>
      <c r="F127" s="395"/>
      <c r="G127" s="395"/>
    </row>
    <row r="128" spans="1:7" ht="34.5" customHeight="1" x14ac:dyDescent="0.3">
      <c r="A128" s="439" t="s">
        <v>299</v>
      </c>
      <c r="B128" s="439"/>
      <c r="C128" s="439"/>
      <c r="D128" s="439"/>
      <c r="E128" s="439"/>
      <c r="F128" s="439"/>
      <c r="G128" s="439"/>
    </row>
    <row r="129" spans="1:7" ht="249" customHeight="1" x14ac:dyDescent="0.3">
      <c r="A129" s="440" t="s">
        <v>269</v>
      </c>
      <c r="B129" s="440"/>
      <c r="C129" s="440"/>
      <c r="D129" s="440"/>
      <c r="E129" s="440"/>
      <c r="F129" s="440"/>
      <c r="G129" s="440"/>
    </row>
    <row r="130" spans="1:7" ht="13.5" customHeight="1" x14ac:dyDescent="0.3">
      <c r="A130" s="368"/>
      <c r="B130" s="368"/>
      <c r="C130" s="368"/>
      <c r="D130" s="368"/>
      <c r="E130" s="368"/>
      <c r="F130" s="368"/>
      <c r="G130" s="368"/>
    </row>
    <row r="131" spans="1:7" x14ac:dyDescent="0.3">
      <c r="A131" s="439" t="s">
        <v>352</v>
      </c>
      <c r="B131" s="439"/>
      <c r="C131" s="439"/>
      <c r="D131" s="439"/>
      <c r="E131" s="439"/>
      <c r="F131" s="439"/>
      <c r="G131" s="439"/>
    </row>
    <row r="132" spans="1:7" ht="16.5" customHeight="1" x14ac:dyDescent="0.3">
      <c r="A132" s="395" t="s">
        <v>278</v>
      </c>
      <c r="B132" s="395"/>
      <c r="C132" s="395"/>
      <c r="D132" s="395"/>
      <c r="E132" s="395"/>
      <c r="F132" s="395"/>
      <c r="G132" s="395"/>
    </row>
    <row r="133" spans="1:7" ht="16.5" customHeight="1" x14ac:dyDescent="0.3">
      <c r="A133" s="395"/>
      <c r="B133" s="395"/>
      <c r="C133" s="395"/>
      <c r="D133" s="395"/>
      <c r="E133" s="395"/>
      <c r="F133" s="395"/>
      <c r="G133" s="395"/>
    </row>
    <row r="134" spans="1:7" ht="16.5" customHeight="1" x14ac:dyDescent="0.3">
      <c r="A134" s="395"/>
      <c r="B134" s="395"/>
      <c r="C134" s="395"/>
      <c r="D134" s="395"/>
      <c r="E134" s="395"/>
      <c r="F134" s="395"/>
      <c r="G134" s="395"/>
    </row>
    <row r="135" spans="1:7" ht="16.5" customHeight="1" x14ac:dyDescent="0.3">
      <c r="A135" s="395"/>
      <c r="B135" s="395"/>
      <c r="C135" s="395"/>
      <c r="D135" s="395"/>
      <c r="E135" s="395"/>
      <c r="F135" s="395"/>
      <c r="G135" s="395"/>
    </row>
    <row r="136" spans="1:7" ht="16.5" customHeight="1" x14ac:dyDescent="0.3">
      <c r="A136" s="395"/>
      <c r="B136" s="395"/>
      <c r="C136" s="395"/>
      <c r="D136" s="395"/>
      <c r="E136" s="395"/>
      <c r="F136" s="395"/>
      <c r="G136" s="395"/>
    </row>
    <row r="137" spans="1:7" ht="45" customHeight="1" x14ac:dyDescent="0.3">
      <c r="A137" s="395"/>
      <c r="B137" s="395"/>
      <c r="C137" s="395"/>
      <c r="D137" s="395"/>
      <c r="E137" s="395"/>
      <c r="F137" s="395"/>
      <c r="G137" s="395"/>
    </row>
    <row r="138" spans="1:7" ht="16.5" customHeight="1" x14ac:dyDescent="0.3">
      <c r="A138" s="395"/>
      <c r="B138" s="395"/>
      <c r="C138" s="395"/>
      <c r="D138" s="395"/>
      <c r="E138" s="395"/>
      <c r="F138" s="395"/>
      <c r="G138" s="395"/>
    </row>
    <row r="139" spans="1:7" ht="21" customHeight="1" x14ac:dyDescent="0.3">
      <c r="A139" s="395"/>
      <c r="B139" s="395"/>
      <c r="C139" s="395"/>
      <c r="D139" s="395"/>
      <c r="E139" s="395"/>
      <c r="F139" s="395"/>
      <c r="G139" s="395"/>
    </row>
    <row r="140" spans="1:7" ht="16.5" customHeight="1" x14ac:dyDescent="0.3"/>
    <row r="141" spans="1:7" ht="16.5" customHeight="1" x14ac:dyDescent="0.3"/>
    <row r="142" spans="1:7" ht="16.5" customHeight="1" x14ac:dyDescent="0.3"/>
    <row r="143" spans="1:7" ht="16.5" customHeight="1" x14ac:dyDescent="0.3"/>
    <row r="144" spans="1:7"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hidden="1" customHeight="1" x14ac:dyDescent="0.3"/>
    <row r="261" ht="16.5" hidden="1" customHeight="1" x14ac:dyDescent="0.3"/>
    <row r="262" ht="16.5" hidden="1" customHeight="1" x14ac:dyDescent="0.3"/>
    <row r="263" ht="16.5" hidden="1" customHeight="1" x14ac:dyDescent="0.3"/>
    <row r="264" ht="16.5" hidden="1" customHeight="1" x14ac:dyDescent="0.3"/>
    <row r="265" ht="16.5" hidden="1" customHeight="1" x14ac:dyDescent="0.3"/>
    <row r="266" ht="16.5" customHeight="1" x14ac:dyDescent="0.3"/>
    <row r="267" ht="16.5" customHeight="1" x14ac:dyDescent="0.3"/>
  </sheetData>
  <sheetProtection password="C66B" sheet="1" objects="1" scenarios="1"/>
  <mergeCells count="46">
    <mergeCell ref="A2:H4"/>
    <mergeCell ref="A120:XFD120"/>
    <mergeCell ref="A119:G119"/>
    <mergeCell ref="A9:G9"/>
    <mergeCell ref="A28:G28"/>
    <mergeCell ref="A58:G58"/>
    <mergeCell ref="A71:G71"/>
    <mergeCell ref="A89:G89"/>
    <mergeCell ref="B35:G35"/>
    <mergeCell ref="A10:G14"/>
    <mergeCell ref="A20:G20"/>
    <mergeCell ref="A29:G33"/>
    <mergeCell ref="A99:G105"/>
    <mergeCell ref="A21:G26"/>
    <mergeCell ref="A40:G41"/>
    <mergeCell ref="A42:G47"/>
    <mergeCell ref="B34:G34"/>
    <mergeCell ref="A125:G125"/>
    <mergeCell ref="A123:G123"/>
    <mergeCell ref="A122:G122"/>
    <mergeCell ref="D5:H5"/>
    <mergeCell ref="D6:H6"/>
    <mergeCell ref="D7:H7"/>
    <mergeCell ref="A16:G16"/>
    <mergeCell ref="A17:G18"/>
    <mergeCell ref="A128:G128"/>
    <mergeCell ref="A124:G124"/>
    <mergeCell ref="A49:G50"/>
    <mergeCell ref="A51:G56"/>
    <mergeCell ref="A90:G96"/>
    <mergeCell ref="A132:G139"/>
    <mergeCell ref="B36:G38"/>
    <mergeCell ref="A59:G69"/>
    <mergeCell ref="D83:G83"/>
    <mergeCell ref="D87:G87"/>
    <mergeCell ref="D86:G86"/>
    <mergeCell ref="D85:G85"/>
    <mergeCell ref="D84:G84"/>
    <mergeCell ref="A72:G80"/>
    <mergeCell ref="A82:G82"/>
    <mergeCell ref="A98:G98"/>
    <mergeCell ref="A107:G107"/>
    <mergeCell ref="A131:G131"/>
    <mergeCell ref="A126:G126"/>
    <mergeCell ref="A129:G129"/>
    <mergeCell ref="A127:G127"/>
  </mergeCells>
  <printOptions horizontalCentered="1"/>
  <pageMargins left="1" right="1" top="1" bottom="0.90052083333333299" header="0.3" footer="0.3"/>
  <pageSetup scale="76" orientation="portrait" r:id="rId1"/>
  <headerFooter>
    <oddHeader>&amp;L&amp;G&amp;C&amp;"Calibri,Bold"Performance Improvement Calculator:
FREQUENTLY ASKED QUESTIONS&amp;R&amp;G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56" max="6" man="1"/>
    <brk id="88" max="6" man="1"/>
    <brk id="123"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S71"/>
  <sheetViews>
    <sheetView showGridLines="0" zoomScaleNormal="100" workbookViewId="0">
      <selection activeCell="C6" sqref="C6"/>
    </sheetView>
  </sheetViews>
  <sheetFormatPr defaultColWidth="0" defaultRowHeight="15" zeroHeight="1" x14ac:dyDescent="0.2"/>
  <cols>
    <col min="1" max="1" width="8.796875" style="250" customWidth="1"/>
    <col min="2" max="2" width="12.69921875" style="250" customWidth="1"/>
    <col min="3" max="4" width="10.296875" style="250" bestFit="1" customWidth="1"/>
    <col min="5" max="5" width="9.8984375" style="250" bestFit="1" customWidth="1"/>
    <col min="6" max="6" width="10.296875" style="250" bestFit="1" customWidth="1"/>
    <col min="7" max="7" width="10.796875" style="250" bestFit="1" customWidth="1"/>
    <col min="8" max="8" width="8.8984375" style="250" bestFit="1" customWidth="1"/>
    <col min="9" max="9" width="8.796875" style="242" customWidth="1"/>
    <col min="10" max="17" width="8.796875" style="250" customWidth="1"/>
    <col min="18" max="18" width="9.5" style="250" customWidth="1"/>
    <col min="19" max="19" width="8.796875" style="250" customWidth="1"/>
    <col min="20" max="16384" width="8.796875" style="250" hidden="1"/>
  </cols>
  <sheetData>
    <row r="1" spans="1:18" ht="16.5" customHeight="1" x14ac:dyDescent="0.25">
      <c r="A1" s="452" t="s">
        <v>238</v>
      </c>
      <c r="B1" s="452"/>
      <c r="C1" s="452"/>
      <c r="D1" s="452"/>
      <c r="E1" s="452"/>
      <c r="F1" s="452"/>
      <c r="G1" s="452"/>
      <c r="H1" s="452"/>
      <c r="J1" s="249" t="s">
        <v>119</v>
      </c>
      <c r="K1" s="276"/>
      <c r="L1" s="276"/>
      <c r="M1" s="276"/>
      <c r="N1" s="276"/>
      <c r="O1" s="276"/>
      <c r="P1" s="276"/>
      <c r="Q1" s="276"/>
    </row>
    <row r="2" spans="1:18" ht="38.25" customHeight="1" x14ac:dyDescent="0.2">
      <c r="A2" s="452"/>
      <c r="B2" s="452"/>
      <c r="C2" s="452"/>
      <c r="D2" s="452"/>
      <c r="E2" s="452"/>
      <c r="F2" s="452"/>
      <c r="G2" s="452"/>
      <c r="H2" s="452"/>
      <c r="J2" s="445" t="s">
        <v>262</v>
      </c>
      <c r="K2" s="445"/>
      <c r="L2" s="445"/>
      <c r="M2" s="445"/>
      <c r="N2" s="445"/>
      <c r="O2" s="445"/>
      <c r="P2" s="445"/>
      <c r="Q2" s="445"/>
    </row>
    <row r="3" spans="1:18" ht="44.25" customHeight="1" thickBot="1" x14ac:dyDescent="0.25">
      <c r="A3" s="452"/>
      <c r="B3" s="452"/>
      <c r="C3" s="452"/>
      <c r="D3" s="452"/>
      <c r="E3" s="452"/>
      <c r="F3" s="452"/>
      <c r="G3" s="452"/>
      <c r="H3" s="452"/>
      <c r="J3" s="442" t="s">
        <v>343</v>
      </c>
      <c r="K3" s="442"/>
      <c r="L3" s="442"/>
      <c r="M3" s="442"/>
      <c r="N3" s="442"/>
      <c r="O3" s="442"/>
      <c r="P3" s="442"/>
      <c r="Q3" s="442"/>
      <c r="R3" s="442"/>
    </row>
    <row r="4" spans="1:18" s="242" customFormat="1" ht="39" customHeight="1" thickBot="1" x14ac:dyDescent="0.25">
      <c r="A4" s="224"/>
      <c r="B4" s="225"/>
      <c r="C4" s="379" t="s">
        <v>12</v>
      </c>
      <c r="D4" s="380" t="s">
        <v>3</v>
      </c>
      <c r="E4" s="380" t="s">
        <v>2</v>
      </c>
      <c r="F4" s="381" t="s">
        <v>17</v>
      </c>
      <c r="G4" s="377" t="s">
        <v>125</v>
      </c>
      <c r="H4" s="382" t="s">
        <v>24</v>
      </c>
      <c r="J4" s="442"/>
      <c r="K4" s="442"/>
      <c r="L4" s="442"/>
      <c r="M4" s="442"/>
      <c r="N4" s="442"/>
      <c r="O4" s="442"/>
      <c r="P4" s="442"/>
      <c r="Q4" s="442"/>
      <c r="R4" s="442"/>
    </row>
    <row r="5" spans="1:18" s="242" customFormat="1" ht="16.5" customHeight="1" x14ac:dyDescent="0.2">
      <c r="A5" s="446" t="s">
        <v>102</v>
      </c>
      <c r="B5" s="292" t="s">
        <v>303</v>
      </c>
      <c r="C5" s="295">
        <v>200</v>
      </c>
      <c r="D5" s="196">
        <v>170</v>
      </c>
      <c r="E5" s="196">
        <v>50</v>
      </c>
      <c r="F5" s="253">
        <v>185</v>
      </c>
      <c r="G5" s="262">
        <f>SUM(C5:F5)</f>
        <v>605</v>
      </c>
      <c r="H5" s="271" t="s">
        <v>19</v>
      </c>
      <c r="J5" s="442"/>
      <c r="K5" s="442"/>
      <c r="L5" s="442"/>
      <c r="M5" s="442"/>
      <c r="N5" s="442"/>
      <c r="O5" s="442"/>
      <c r="P5" s="442"/>
      <c r="Q5" s="442"/>
      <c r="R5" s="442"/>
    </row>
    <row r="6" spans="1:18" s="242" customFormat="1" ht="16.5" customHeight="1" x14ac:dyDescent="0.2">
      <c r="A6" s="447"/>
      <c r="B6" s="293" t="s">
        <v>39</v>
      </c>
      <c r="C6" s="296">
        <v>90</v>
      </c>
      <c r="D6" s="197">
        <v>240</v>
      </c>
      <c r="E6" s="197">
        <v>75</v>
      </c>
      <c r="F6" s="254">
        <v>80</v>
      </c>
      <c r="G6" s="263">
        <f>SUM(C6:F6)</f>
        <v>485</v>
      </c>
      <c r="H6" s="272" t="s">
        <v>19</v>
      </c>
      <c r="J6" s="442"/>
      <c r="K6" s="442"/>
      <c r="L6" s="442"/>
      <c r="M6" s="442"/>
      <c r="N6" s="442"/>
      <c r="O6" s="442"/>
      <c r="P6" s="442"/>
      <c r="Q6" s="442"/>
      <c r="R6" s="442"/>
    </row>
    <row r="7" spans="1:18" s="242" customFormat="1" ht="16.5" customHeight="1" thickBot="1" x14ac:dyDescent="0.25">
      <c r="A7" s="448"/>
      <c r="B7" s="294" t="s">
        <v>0</v>
      </c>
      <c r="C7" s="297">
        <f>SUM(C5:C6)</f>
        <v>290</v>
      </c>
      <c r="D7" s="226">
        <f t="shared" ref="D7:F7" si="0">SUM(D5:D6)</f>
        <v>410</v>
      </c>
      <c r="E7" s="226">
        <f t="shared" si="0"/>
        <v>125</v>
      </c>
      <c r="F7" s="255">
        <f t="shared" si="0"/>
        <v>265</v>
      </c>
      <c r="G7" s="264">
        <f>SUM(C7:F7)</f>
        <v>1090</v>
      </c>
      <c r="H7" s="273" t="s">
        <v>19</v>
      </c>
      <c r="J7" s="442"/>
      <c r="K7" s="442"/>
      <c r="L7" s="442"/>
      <c r="M7" s="442"/>
      <c r="N7" s="442"/>
      <c r="O7" s="442"/>
      <c r="P7" s="442"/>
      <c r="Q7" s="442"/>
      <c r="R7" s="442"/>
    </row>
    <row r="8" spans="1:18" s="242" customFormat="1" ht="16.5" customHeight="1" x14ac:dyDescent="0.2">
      <c r="A8" s="446" t="s">
        <v>99</v>
      </c>
      <c r="B8" s="292" t="s">
        <v>303</v>
      </c>
      <c r="C8" s="298">
        <v>2000000</v>
      </c>
      <c r="D8" s="248">
        <v>1800000</v>
      </c>
      <c r="E8" s="248">
        <v>645000</v>
      </c>
      <c r="F8" s="256">
        <v>2500000</v>
      </c>
      <c r="G8" s="265">
        <f>SUM(C8:F8)</f>
        <v>6945000</v>
      </c>
      <c r="H8" s="265">
        <f>IFERROR(F8/F5,0)</f>
        <v>13513.513513513513</v>
      </c>
      <c r="I8" s="251"/>
      <c r="J8" s="442"/>
      <c r="K8" s="442"/>
      <c r="L8" s="442"/>
      <c r="M8" s="442"/>
      <c r="N8" s="442"/>
      <c r="O8" s="442"/>
      <c r="P8" s="442"/>
      <c r="Q8" s="442"/>
      <c r="R8" s="442"/>
    </row>
    <row r="9" spans="1:18" s="242" customFormat="1" ht="16.5" customHeight="1" x14ac:dyDescent="0.2">
      <c r="A9" s="447"/>
      <c r="B9" s="293" t="s">
        <v>39</v>
      </c>
      <c r="C9" s="299">
        <v>1200000</v>
      </c>
      <c r="D9" s="198">
        <v>3000000</v>
      </c>
      <c r="E9" s="198">
        <v>850000</v>
      </c>
      <c r="F9" s="257">
        <v>1500000</v>
      </c>
      <c r="G9" s="266">
        <f>SUM(C9:F9)</f>
        <v>6550000</v>
      </c>
      <c r="H9" s="266">
        <f>IFERROR(F9/F6,0)</f>
        <v>18750</v>
      </c>
      <c r="I9" s="251"/>
      <c r="J9" s="442"/>
      <c r="K9" s="442"/>
      <c r="L9" s="442"/>
      <c r="M9" s="442"/>
      <c r="N9" s="442"/>
      <c r="O9" s="442"/>
      <c r="P9" s="442"/>
      <c r="Q9" s="442"/>
      <c r="R9" s="442"/>
    </row>
    <row r="10" spans="1:18" s="242" customFormat="1" ht="16.5" customHeight="1" thickBot="1" x14ac:dyDescent="0.25">
      <c r="A10" s="448"/>
      <c r="B10" s="294" t="s">
        <v>0</v>
      </c>
      <c r="C10" s="300">
        <f>SUM(C8:C9)</f>
        <v>3200000</v>
      </c>
      <c r="D10" s="227">
        <f t="shared" ref="D10:F10" si="1">SUM(D8:D9)</f>
        <v>4800000</v>
      </c>
      <c r="E10" s="227">
        <f t="shared" si="1"/>
        <v>1495000</v>
      </c>
      <c r="F10" s="258">
        <f t="shared" si="1"/>
        <v>4000000</v>
      </c>
      <c r="G10" s="267">
        <f t="shared" ref="G10:G19" si="2">SUM(C10:F10)</f>
        <v>13495000</v>
      </c>
      <c r="H10" s="267">
        <f>F10/F7</f>
        <v>15094.33962264151</v>
      </c>
      <c r="I10" s="251"/>
      <c r="J10" s="442"/>
      <c r="K10" s="442"/>
      <c r="L10" s="442"/>
      <c r="M10" s="442"/>
      <c r="N10" s="442"/>
      <c r="O10" s="442"/>
      <c r="P10" s="442"/>
      <c r="Q10" s="442"/>
      <c r="R10" s="442"/>
    </row>
    <row r="11" spans="1:18" s="242" customFormat="1" ht="16.5" customHeight="1" x14ac:dyDescent="0.2">
      <c r="A11" s="446" t="s">
        <v>100</v>
      </c>
      <c r="B11" s="292" t="s">
        <v>303</v>
      </c>
      <c r="C11" s="295">
        <v>1550</v>
      </c>
      <c r="D11" s="196">
        <v>235</v>
      </c>
      <c r="E11" s="196">
        <v>150</v>
      </c>
      <c r="F11" s="259" t="s">
        <v>19</v>
      </c>
      <c r="G11" s="262">
        <f>SUM(C11:F11)</f>
        <v>1935</v>
      </c>
      <c r="H11" s="228"/>
      <c r="I11" s="251"/>
      <c r="J11" s="442"/>
      <c r="K11" s="442"/>
      <c r="L11" s="442"/>
      <c r="M11" s="442"/>
      <c r="N11" s="442"/>
      <c r="O11" s="442"/>
      <c r="P11" s="442"/>
      <c r="Q11" s="442"/>
      <c r="R11" s="442"/>
    </row>
    <row r="12" spans="1:18" s="242" customFormat="1" ht="16.5" customHeight="1" x14ac:dyDescent="0.2">
      <c r="A12" s="447"/>
      <c r="B12" s="293" t="s">
        <v>39</v>
      </c>
      <c r="C12" s="296">
        <v>430</v>
      </c>
      <c r="D12" s="197">
        <v>285</v>
      </c>
      <c r="E12" s="197">
        <v>275</v>
      </c>
      <c r="F12" s="260" t="s">
        <v>19</v>
      </c>
      <c r="G12" s="263">
        <f>SUM(C12:F12)</f>
        <v>990</v>
      </c>
      <c r="H12" s="228"/>
      <c r="I12" s="251"/>
      <c r="J12" s="442" t="s">
        <v>235</v>
      </c>
      <c r="K12" s="442"/>
      <c r="L12" s="442"/>
      <c r="M12" s="442"/>
      <c r="N12" s="442"/>
      <c r="O12" s="442"/>
      <c r="P12" s="442"/>
      <c r="Q12" s="442"/>
      <c r="R12" s="442"/>
    </row>
    <row r="13" spans="1:18" s="242" customFormat="1" ht="16.5" customHeight="1" thickBot="1" x14ac:dyDescent="0.25">
      <c r="A13" s="448"/>
      <c r="B13" s="294" t="s">
        <v>0</v>
      </c>
      <c r="C13" s="297">
        <f>SUM(C11:C12)</f>
        <v>1980</v>
      </c>
      <c r="D13" s="226">
        <f t="shared" ref="D13:E13" si="3">SUM(D11:D12)</f>
        <v>520</v>
      </c>
      <c r="E13" s="226">
        <f t="shared" si="3"/>
        <v>425</v>
      </c>
      <c r="F13" s="261" t="s">
        <v>19</v>
      </c>
      <c r="G13" s="264">
        <f t="shared" si="2"/>
        <v>2925</v>
      </c>
      <c r="H13" s="228"/>
      <c r="I13" s="251"/>
      <c r="J13" s="442"/>
      <c r="K13" s="442"/>
      <c r="L13" s="442"/>
      <c r="M13" s="442"/>
      <c r="N13" s="442"/>
      <c r="O13" s="442"/>
      <c r="P13" s="442"/>
      <c r="Q13" s="442"/>
      <c r="R13" s="442"/>
    </row>
    <row r="14" spans="1:18" s="242" customFormat="1" ht="16.5" customHeight="1" x14ac:dyDescent="0.2">
      <c r="A14" s="449" t="s">
        <v>124</v>
      </c>
      <c r="B14" s="292" t="s">
        <v>303</v>
      </c>
      <c r="C14" s="301">
        <f>365/(C11/C5)</f>
        <v>47.096774193548384</v>
      </c>
      <c r="D14" s="278">
        <f t="shared" ref="D14:E14" si="4">365/(D11/D5)</f>
        <v>264.04255319148939</v>
      </c>
      <c r="E14" s="278">
        <f t="shared" si="4"/>
        <v>121.66666666666667</v>
      </c>
      <c r="F14" s="259" t="s">
        <v>19</v>
      </c>
      <c r="G14" s="262">
        <f t="shared" ref="G14" si="5">365/(G11/G5)</f>
        <v>114.12144702842377</v>
      </c>
      <c r="H14" s="228"/>
      <c r="I14" s="251"/>
      <c r="J14" s="442"/>
      <c r="K14" s="442"/>
      <c r="L14" s="442"/>
      <c r="M14" s="442"/>
      <c r="N14" s="442"/>
      <c r="O14" s="442"/>
      <c r="P14" s="442"/>
      <c r="Q14" s="442"/>
      <c r="R14" s="442"/>
    </row>
    <row r="15" spans="1:18" s="242" customFormat="1" ht="16.5" customHeight="1" x14ac:dyDescent="0.2">
      <c r="A15" s="450"/>
      <c r="B15" s="293" t="s">
        <v>39</v>
      </c>
      <c r="C15" s="302">
        <f>365/(C12/C6)</f>
        <v>76.395348837209298</v>
      </c>
      <c r="D15" s="279">
        <f t="shared" ref="D15:E15" si="6">365/(D12/D6)</f>
        <v>307.36842105263156</v>
      </c>
      <c r="E15" s="279">
        <f t="shared" si="6"/>
        <v>99.545454545454547</v>
      </c>
      <c r="F15" s="260" t="s">
        <v>19</v>
      </c>
      <c r="G15" s="263">
        <f t="shared" ref="G15" si="7">365/(G12/G6)</f>
        <v>178.81313131313132</v>
      </c>
      <c r="H15" s="228"/>
      <c r="I15" s="251"/>
      <c r="J15" s="442"/>
      <c r="K15" s="442"/>
      <c r="L15" s="442"/>
      <c r="M15" s="442"/>
      <c r="N15" s="442"/>
      <c r="O15" s="442"/>
      <c r="P15" s="442"/>
      <c r="Q15" s="442"/>
      <c r="R15" s="442"/>
    </row>
    <row r="16" spans="1:18" s="242" customFormat="1" ht="16.5" customHeight="1" thickBot="1" x14ac:dyDescent="0.25">
      <c r="A16" s="451"/>
      <c r="B16" s="294" t="s">
        <v>20</v>
      </c>
      <c r="C16" s="297">
        <f>((C11*C14)+(C12*C15))/C13</f>
        <v>53.459595959595958</v>
      </c>
      <c r="D16" s="226">
        <f t="shared" ref="D16:G16" si="8">((D11*D14)+(D12*D15))/D13</f>
        <v>287.78846153846155</v>
      </c>
      <c r="E16" s="226">
        <f t="shared" si="8"/>
        <v>107.35294117647059</v>
      </c>
      <c r="F16" s="261" t="s">
        <v>19</v>
      </c>
      <c r="G16" s="264">
        <f t="shared" si="8"/>
        <v>136.01709401709402</v>
      </c>
      <c r="H16" s="228"/>
      <c r="I16" s="251"/>
      <c r="J16" s="442"/>
      <c r="K16" s="442"/>
      <c r="L16" s="442"/>
      <c r="M16" s="442"/>
      <c r="N16" s="442"/>
      <c r="O16" s="442"/>
      <c r="P16" s="442"/>
      <c r="Q16" s="442"/>
      <c r="R16" s="442"/>
    </row>
    <row r="17" spans="1:18" s="242" customFormat="1" ht="16.5" customHeight="1" x14ac:dyDescent="0.2">
      <c r="A17" s="446" t="s">
        <v>101</v>
      </c>
      <c r="B17" s="292" t="s">
        <v>303</v>
      </c>
      <c r="C17" s="295">
        <v>265</v>
      </c>
      <c r="D17" s="196">
        <v>98</v>
      </c>
      <c r="E17" s="196">
        <v>112</v>
      </c>
      <c r="F17" s="259" t="s">
        <v>19</v>
      </c>
      <c r="G17" s="262">
        <f>SUM(C17:F17)</f>
        <v>475</v>
      </c>
      <c r="H17" s="228"/>
      <c r="I17" s="251"/>
      <c r="J17" s="443" t="s">
        <v>300</v>
      </c>
      <c r="K17" s="443"/>
      <c r="L17" s="443"/>
      <c r="M17" s="443"/>
      <c r="N17" s="443"/>
      <c r="O17" s="443"/>
      <c r="P17" s="443"/>
      <c r="Q17" s="443"/>
      <c r="R17" s="443"/>
    </row>
    <row r="18" spans="1:18" s="242" customFormat="1" ht="16.5" customHeight="1" x14ac:dyDescent="0.2">
      <c r="A18" s="447"/>
      <c r="B18" s="293" t="s">
        <v>39</v>
      </c>
      <c r="C18" s="296">
        <v>137</v>
      </c>
      <c r="D18" s="197">
        <v>158</v>
      </c>
      <c r="E18" s="197">
        <v>235</v>
      </c>
      <c r="F18" s="260" t="s">
        <v>19</v>
      </c>
      <c r="G18" s="263">
        <f>SUM(C18:F18)</f>
        <v>530</v>
      </c>
      <c r="H18" s="228"/>
      <c r="I18" s="251"/>
      <c r="J18" s="275"/>
      <c r="K18" s="275"/>
      <c r="L18" s="275"/>
      <c r="M18" s="275"/>
      <c r="N18" s="275"/>
      <c r="O18" s="275"/>
      <c r="P18" s="275"/>
      <c r="Q18" s="275"/>
    </row>
    <row r="19" spans="1:18" s="242" customFormat="1" ht="15.75" customHeight="1" thickBot="1" x14ac:dyDescent="0.25">
      <c r="A19" s="448"/>
      <c r="B19" s="294" t="s">
        <v>0</v>
      </c>
      <c r="C19" s="303">
        <f>SUM(C17:C18)</f>
        <v>402</v>
      </c>
      <c r="D19" s="252">
        <f t="shared" ref="D19:E19" si="9">SUM(D17:D18)</f>
        <v>256</v>
      </c>
      <c r="E19" s="252">
        <f t="shared" si="9"/>
        <v>347</v>
      </c>
      <c r="F19" s="261" t="s">
        <v>19</v>
      </c>
      <c r="G19" s="264">
        <f t="shared" si="2"/>
        <v>1005</v>
      </c>
      <c r="H19" s="228"/>
      <c r="I19" s="251"/>
      <c r="J19" s="442" t="s">
        <v>301</v>
      </c>
      <c r="K19" s="442"/>
      <c r="L19" s="442"/>
      <c r="M19" s="442"/>
      <c r="N19" s="442"/>
      <c r="O19" s="442"/>
      <c r="P19" s="442"/>
      <c r="Q19" s="442"/>
      <c r="R19" s="442"/>
    </row>
    <row r="20" spans="1:18" s="242" customFormat="1" ht="16.5" customHeight="1" x14ac:dyDescent="0.2">
      <c r="A20" s="446" t="s">
        <v>34</v>
      </c>
      <c r="B20" s="292" t="s">
        <v>303</v>
      </c>
      <c r="C20" s="304">
        <f t="shared" ref="C20:E21" si="10">IFERROR(C17/C11,0)</f>
        <v>0.17096774193548386</v>
      </c>
      <c r="D20" s="229">
        <f t="shared" si="10"/>
        <v>0.41702127659574467</v>
      </c>
      <c r="E20" s="229">
        <f t="shared" si="10"/>
        <v>0.7466666666666667</v>
      </c>
      <c r="F20" s="259" t="s">
        <v>19</v>
      </c>
      <c r="G20" s="268">
        <f>IFERROR(G17/G11,0)</f>
        <v>0.2454780361757106</v>
      </c>
      <c r="H20" s="228"/>
      <c r="J20" s="442"/>
      <c r="K20" s="442"/>
      <c r="L20" s="442"/>
      <c r="M20" s="442"/>
      <c r="N20" s="442"/>
      <c r="O20" s="442"/>
      <c r="P20" s="442"/>
      <c r="Q20" s="442"/>
      <c r="R20" s="442"/>
    </row>
    <row r="21" spans="1:18" s="242" customFormat="1" ht="16.5" customHeight="1" x14ac:dyDescent="0.2">
      <c r="A21" s="447"/>
      <c r="B21" s="293" t="s">
        <v>39</v>
      </c>
      <c r="C21" s="305">
        <f t="shared" si="10"/>
        <v>0.31860465116279069</v>
      </c>
      <c r="D21" s="230">
        <f t="shared" si="10"/>
        <v>0.55438596491228065</v>
      </c>
      <c r="E21" s="230">
        <f t="shared" si="10"/>
        <v>0.8545454545454545</v>
      </c>
      <c r="F21" s="260" t="s">
        <v>19</v>
      </c>
      <c r="G21" s="269">
        <f>IFERROR(G18/G12,0)</f>
        <v>0.53535353535353536</v>
      </c>
      <c r="H21" s="228"/>
      <c r="J21" s="442"/>
      <c r="K21" s="442"/>
      <c r="L21" s="442"/>
      <c r="M21" s="442"/>
      <c r="N21" s="442"/>
      <c r="O21" s="442"/>
      <c r="P21" s="442"/>
      <c r="Q21" s="442"/>
      <c r="R21" s="442"/>
    </row>
    <row r="22" spans="1:18" s="242" customFormat="1" ht="16.5" customHeight="1" thickBot="1" x14ac:dyDescent="0.25">
      <c r="A22" s="448"/>
      <c r="B22" s="294" t="s">
        <v>20</v>
      </c>
      <c r="C22" s="306">
        <f>((C12*C21)+(C11*C20))/C13</f>
        <v>0.20303030303030303</v>
      </c>
      <c r="D22" s="231">
        <f>((D12*D21)+(D11*D20))/D13</f>
        <v>0.49230769230769228</v>
      </c>
      <c r="E22" s="231">
        <f>((E12*E21)+(E11*E20))/E13</f>
        <v>0.81647058823529417</v>
      </c>
      <c r="F22" s="261" t="s">
        <v>19</v>
      </c>
      <c r="G22" s="270">
        <f>((G12*G21)+(G11*G20))/G13</f>
        <v>0.34358974358974359</v>
      </c>
      <c r="H22" s="228"/>
      <c r="J22" s="442"/>
      <c r="K22" s="442"/>
      <c r="L22" s="442"/>
      <c r="M22" s="442"/>
      <c r="N22" s="442"/>
      <c r="O22" s="442"/>
      <c r="P22" s="442"/>
      <c r="Q22" s="442"/>
      <c r="R22" s="442"/>
    </row>
    <row r="23" spans="1:18" s="242" customFormat="1" ht="16.5" customHeight="1" x14ac:dyDescent="0.2">
      <c r="A23" s="446" t="s">
        <v>103</v>
      </c>
      <c r="B23" s="292" t="s">
        <v>303</v>
      </c>
      <c r="C23" s="307">
        <v>39</v>
      </c>
      <c r="D23" s="247">
        <v>7</v>
      </c>
      <c r="E23" s="247">
        <v>10</v>
      </c>
      <c r="F23" s="259" t="s">
        <v>19</v>
      </c>
      <c r="G23" s="262">
        <f>SUM(C23:F23)</f>
        <v>56</v>
      </c>
      <c r="H23" s="228"/>
      <c r="I23" s="251"/>
      <c r="J23" s="444" t="s">
        <v>302</v>
      </c>
      <c r="K23" s="444"/>
      <c r="L23" s="444"/>
      <c r="M23" s="444"/>
      <c r="N23" s="444"/>
      <c r="O23" s="444"/>
      <c r="P23" s="444"/>
      <c r="Q23" s="444"/>
      <c r="R23" s="444"/>
    </row>
    <row r="24" spans="1:18" s="242" customFormat="1" ht="16.5" customHeight="1" x14ac:dyDescent="0.2">
      <c r="A24" s="447"/>
      <c r="B24" s="293" t="s">
        <v>39</v>
      </c>
      <c r="C24" s="308">
        <v>15</v>
      </c>
      <c r="D24" s="195">
        <v>14</v>
      </c>
      <c r="E24" s="195">
        <v>9</v>
      </c>
      <c r="F24" s="260" t="s">
        <v>19</v>
      </c>
      <c r="G24" s="263">
        <f>SUM(C24:F24)</f>
        <v>38</v>
      </c>
      <c r="H24" s="228"/>
      <c r="I24" s="251"/>
      <c r="J24" s="444"/>
      <c r="K24" s="444"/>
      <c r="L24" s="444"/>
      <c r="M24" s="444"/>
      <c r="N24" s="444"/>
      <c r="O24" s="444"/>
      <c r="P24" s="444"/>
      <c r="Q24" s="444"/>
      <c r="R24" s="444"/>
    </row>
    <row r="25" spans="1:18" s="242" customFormat="1" ht="16.5" customHeight="1" thickBot="1" x14ac:dyDescent="0.25">
      <c r="A25" s="448"/>
      <c r="B25" s="294" t="s">
        <v>0</v>
      </c>
      <c r="C25" s="386">
        <f>SUM(C23:C24)</f>
        <v>54</v>
      </c>
      <c r="D25" s="383">
        <f t="shared" ref="D25:E25" si="11">SUM(D23:D24)</f>
        <v>21</v>
      </c>
      <c r="E25" s="383">
        <f t="shared" si="11"/>
        <v>19</v>
      </c>
      <c r="F25" s="261" t="s">
        <v>19</v>
      </c>
      <c r="G25" s="264">
        <f>SUM(C25:F25)</f>
        <v>94</v>
      </c>
      <c r="H25" s="228"/>
      <c r="I25" s="251"/>
      <c r="J25" s="444"/>
      <c r="K25" s="444"/>
      <c r="L25" s="444"/>
      <c r="M25" s="444"/>
      <c r="N25" s="444"/>
      <c r="O25" s="444"/>
      <c r="P25" s="444"/>
      <c r="Q25" s="444"/>
      <c r="R25" s="444"/>
    </row>
    <row r="26" spans="1:18" s="242" customFormat="1" ht="16.5" customHeight="1" x14ac:dyDescent="0.2">
      <c r="A26" s="446" t="s">
        <v>18</v>
      </c>
      <c r="B26" s="292" t="s">
        <v>303</v>
      </c>
      <c r="C26" s="309">
        <f t="shared" ref="C26:E27" si="12">IFERROR(C23/C17,0)</f>
        <v>0.14716981132075471</v>
      </c>
      <c r="D26" s="232">
        <f t="shared" si="12"/>
        <v>7.1428571428571425E-2</v>
      </c>
      <c r="E26" s="280">
        <f t="shared" si="12"/>
        <v>8.9285714285714288E-2</v>
      </c>
      <c r="F26" s="259" t="s">
        <v>19</v>
      </c>
      <c r="G26" s="287">
        <f t="shared" ref="G26" si="13">IFERROR(G23/G17,0)</f>
        <v>0.11789473684210526</v>
      </c>
      <c r="H26" s="228"/>
      <c r="J26" s="444"/>
      <c r="K26" s="444"/>
      <c r="L26" s="444"/>
      <c r="M26" s="444"/>
      <c r="N26" s="444"/>
      <c r="O26" s="444"/>
      <c r="P26" s="444"/>
      <c r="Q26" s="444"/>
      <c r="R26" s="444"/>
    </row>
    <row r="27" spans="1:18" s="242" customFormat="1" ht="16.5" customHeight="1" x14ac:dyDescent="0.2">
      <c r="A27" s="447"/>
      <c r="B27" s="293" t="s">
        <v>39</v>
      </c>
      <c r="C27" s="310">
        <f t="shared" si="12"/>
        <v>0.10948905109489052</v>
      </c>
      <c r="D27" s="233">
        <f t="shared" si="12"/>
        <v>8.8607594936708861E-2</v>
      </c>
      <c r="E27" s="281">
        <f t="shared" si="12"/>
        <v>3.8297872340425532E-2</v>
      </c>
      <c r="F27" s="260" t="s">
        <v>19</v>
      </c>
      <c r="G27" s="288">
        <f t="shared" ref="G27" si="14">IFERROR(G24/G18,0)</f>
        <v>7.1698113207547168E-2</v>
      </c>
      <c r="H27" s="228"/>
      <c r="J27" s="444"/>
      <c r="K27" s="444"/>
      <c r="L27" s="444"/>
      <c r="M27" s="444"/>
      <c r="N27" s="444"/>
      <c r="O27" s="444"/>
      <c r="P27" s="444"/>
      <c r="Q27" s="444"/>
      <c r="R27" s="444"/>
    </row>
    <row r="28" spans="1:18" s="242" customFormat="1" ht="16.5" customHeight="1" thickBot="1" x14ac:dyDescent="0.25">
      <c r="A28" s="448"/>
      <c r="B28" s="294" t="s">
        <v>20</v>
      </c>
      <c r="C28" s="306">
        <f>((C18*C27)+(C17*C26))/C19</f>
        <v>0.13432835820895522</v>
      </c>
      <c r="D28" s="231">
        <f>((D18*D27)+(D17*D26))/D19</f>
        <v>8.203125E-2</v>
      </c>
      <c r="E28" s="282">
        <f>((E18*E27)+(E17*E26))/E19</f>
        <v>5.4755043227665709E-2</v>
      </c>
      <c r="F28" s="261" t="s">
        <v>19</v>
      </c>
      <c r="G28" s="270">
        <f>((G18*G27)+(G17*G26))/G19</f>
        <v>9.353233830845771E-2</v>
      </c>
      <c r="H28" s="228"/>
      <c r="J28" s="444"/>
      <c r="K28" s="444"/>
      <c r="L28" s="444"/>
      <c r="M28" s="444"/>
      <c r="N28" s="444"/>
      <c r="O28" s="444"/>
      <c r="P28" s="444"/>
      <c r="Q28" s="444"/>
      <c r="R28" s="444"/>
    </row>
    <row r="29" spans="1:18" s="242" customFormat="1" ht="16.5" customHeight="1" x14ac:dyDescent="0.2">
      <c r="A29" s="446" t="s">
        <v>30</v>
      </c>
      <c r="B29" s="292" t="s">
        <v>303</v>
      </c>
      <c r="C29" s="311">
        <f t="shared" ref="C29:E30" si="15">C11*C32</f>
        <v>226</v>
      </c>
      <c r="D29" s="234">
        <f t="shared" si="15"/>
        <v>91</v>
      </c>
      <c r="E29" s="283">
        <f t="shared" si="15"/>
        <v>102.00000000000001</v>
      </c>
      <c r="F29" s="259" t="s">
        <v>19</v>
      </c>
      <c r="G29" s="289">
        <f>SUM(C29:F29)</f>
        <v>419</v>
      </c>
      <c r="H29" s="315"/>
      <c r="J29" s="444"/>
      <c r="K29" s="444"/>
      <c r="L29" s="444"/>
      <c r="M29" s="444"/>
      <c r="N29" s="444"/>
      <c r="O29" s="444"/>
      <c r="P29" s="444"/>
      <c r="Q29" s="444"/>
      <c r="R29" s="444"/>
    </row>
    <row r="30" spans="1:18" s="242" customFormat="1" ht="16.5" customHeight="1" x14ac:dyDescent="0.2">
      <c r="A30" s="447"/>
      <c r="B30" s="293" t="s">
        <v>39</v>
      </c>
      <c r="C30" s="312">
        <f t="shared" si="15"/>
        <v>121.99999999999999</v>
      </c>
      <c r="D30" s="235">
        <f t="shared" si="15"/>
        <v>144</v>
      </c>
      <c r="E30" s="284">
        <f t="shared" si="15"/>
        <v>226</v>
      </c>
      <c r="F30" s="260" t="s">
        <v>19</v>
      </c>
      <c r="G30" s="290">
        <f>SUM(C30:F30)</f>
        <v>492</v>
      </c>
      <c r="H30" s="315"/>
      <c r="J30" s="444"/>
      <c r="K30" s="444"/>
      <c r="L30" s="444"/>
      <c r="M30" s="444"/>
      <c r="N30" s="444"/>
      <c r="O30" s="444"/>
      <c r="P30" s="444"/>
      <c r="Q30" s="444"/>
      <c r="R30" s="444"/>
    </row>
    <row r="31" spans="1:18" s="242" customFormat="1" ht="16.5" customHeight="1" thickBot="1" x14ac:dyDescent="0.25">
      <c r="A31" s="448"/>
      <c r="B31" s="294" t="s">
        <v>0</v>
      </c>
      <c r="C31" s="313">
        <f>SUM(C29:C30)</f>
        <v>348</v>
      </c>
      <c r="D31" s="236">
        <f t="shared" ref="D31:E31" si="16">SUM(D29:D30)</f>
        <v>235</v>
      </c>
      <c r="E31" s="285">
        <f t="shared" si="16"/>
        <v>328</v>
      </c>
      <c r="F31" s="261" t="s">
        <v>19</v>
      </c>
      <c r="G31" s="291">
        <f>SUM(G29:G30)</f>
        <v>911</v>
      </c>
      <c r="H31" s="315"/>
      <c r="J31" s="444"/>
      <c r="K31" s="444"/>
      <c r="L31" s="444"/>
      <c r="M31" s="444"/>
      <c r="N31" s="444"/>
      <c r="O31" s="444"/>
      <c r="P31" s="444"/>
      <c r="Q31" s="444"/>
      <c r="R31" s="444"/>
    </row>
    <row r="32" spans="1:18" s="242" customFormat="1" ht="16.5" customHeight="1" x14ac:dyDescent="0.2">
      <c r="A32" s="446" t="s">
        <v>28</v>
      </c>
      <c r="B32" s="292" t="s">
        <v>303</v>
      </c>
      <c r="C32" s="387">
        <f t="shared" ref="C32:E33" si="17">IFERROR((C17-(C17*C26))/C11,0)</f>
        <v>0.14580645161290323</v>
      </c>
      <c r="D32" s="384">
        <f t="shared" si="17"/>
        <v>0.38723404255319149</v>
      </c>
      <c r="E32" s="385">
        <f t="shared" si="17"/>
        <v>0.68</v>
      </c>
      <c r="F32" s="259" t="s">
        <v>19</v>
      </c>
      <c r="G32" s="268">
        <f t="shared" ref="G32" si="18">IFERROR((G17-(G17*G26))/G11,0)</f>
        <v>0.21653746770025839</v>
      </c>
      <c r="H32" s="228"/>
      <c r="J32" s="444"/>
      <c r="K32" s="444"/>
      <c r="L32" s="444"/>
      <c r="M32" s="444"/>
      <c r="N32" s="444"/>
      <c r="O32" s="444"/>
      <c r="P32" s="444"/>
      <c r="Q32" s="444"/>
      <c r="R32" s="444"/>
    </row>
    <row r="33" spans="1:17" s="242" customFormat="1" ht="16.5" customHeight="1" x14ac:dyDescent="0.2">
      <c r="A33" s="447"/>
      <c r="B33" s="293" t="s">
        <v>39</v>
      </c>
      <c r="C33" s="314">
        <f t="shared" si="17"/>
        <v>0.28372093023255812</v>
      </c>
      <c r="D33" s="237">
        <f t="shared" si="17"/>
        <v>0.50526315789473686</v>
      </c>
      <c r="E33" s="286">
        <f t="shared" si="17"/>
        <v>0.82181818181818178</v>
      </c>
      <c r="F33" s="260" t="s">
        <v>19</v>
      </c>
      <c r="G33" s="269">
        <f t="shared" ref="G33" si="19">IFERROR((G18-(G18*G27))/G12,0)</f>
        <v>0.49696969696969695</v>
      </c>
      <c r="H33" s="228"/>
      <c r="J33" s="275"/>
      <c r="K33" s="275"/>
      <c r="L33" s="275"/>
      <c r="M33" s="275"/>
      <c r="N33" s="275"/>
      <c r="O33" s="275"/>
      <c r="P33" s="275"/>
      <c r="Q33" s="275"/>
    </row>
    <row r="34" spans="1:17" s="242" customFormat="1" ht="16.5" customHeight="1" thickBot="1" x14ac:dyDescent="0.25">
      <c r="A34" s="448"/>
      <c r="B34" s="294" t="s">
        <v>20</v>
      </c>
      <c r="C34" s="306">
        <f>((C18-(C18*C27))+(C17-(C17*C26)))/C13</f>
        <v>0.17575757575757575</v>
      </c>
      <c r="D34" s="231">
        <f>((D18-(D18*D27))+(D17-(D17*D26)))/D13</f>
        <v>0.45192307692307693</v>
      </c>
      <c r="E34" s="282">
        <f>((E18-(E18*E27))+(E17-(E17*E26)))/E13</f>
        <v>0.77176470588235291</v>
      </c>
      <c r="F34" s="261" t="s">
        <v>19</v>
      </c>
      <c r="G34" s="270">
        <f>((G18-(G18*G27))+(G17-(G17*G26)))/G13</f>
        <v>0.31145299145299143</v>
      </c>
      <c r="H34" s="228"/>
      <c r="J34" s="275"/>
      <c r="K34" s="275"/>
      <c r="L34" s="275"/>
      <c r="M34" s="275"/>
      <c r="N34" s="275"/>
      <c r="O34" s="275"/>
      <c r="P34" s="275"/>
      <c r="Q34" s="275"/>
    </row>
    <row r="35" spans="1:17" customFormat="1" ht="16.5" customHeight="1" x14ac:dyDescent="0.2"/>
    <row r="36" spans="1:17" ht="15" customHeight="1" x14ac:dyDescent="0.2">
      <c r="A36" s="442" t="s">
        <v>344</v>
      </c>
      <c r="B36" s="442"/>
      <c r="C36" s="442"/>
      <c r="D36" s="442"/>
      <c r="E36" s="442"/>
      <c r="F36" s="442"/>
      <c r="G36" s="442"/>
      <c r="H36" s="442"/>
      <c r="I36" s="442"/>
      <c r="J36" s="275"/>
      <c r="K36" s="275"/>
      <c r="L36" s="275"/>
      <c r="M36" s="275"/>
      <c r="N36" s="275"/>
      <c r="O36" s="275"/>
      <c r="P36" s="275"/>
      <c r="Q36" s="275"/>
    </row>
    <row r="37" spans="1:17" ht="15" customHeight="1" x14ac:dyDescent="0.2">
      <c r="A37" s="442"/>
      <c r="B37" s="442"/>
      <c r="C37" s="442"/>
      <c r="D37" s="442"/>
      <c r="E37" s="442"/>
      <c r="F37" s="442"/>
      <c r="G37" s="442"/>
      <c r="H37" s="442"/>
      <c r="I37" s="442"/>
      <c r="J37" s="275"/>
      <c r="K37" s="275"/>
      <c r="L37" s="275"/>
      <c r="M37" s="275"/>
      <c r="N37" s="275"/>
      <c r="O37" s="275"/>
      <c r="P37" s="275"/>
      <c r="Q37" s="275"/>
    </row>
    <row r="38" spans="1:17" ht="16.5" customHeight="1" x14ac:dyDescent="0.2">
      <c r="A38" s="442"/>
      <c r="B38" s="442"/>
      <c r="C38" s="442"/>
      <c r="D38" s="442"/>
      <c r="E38" s="442"/>
      <c r="F38" s="442"/>
      <c r="G38" s="442"/>
      <c r="H38" s="442"/>
      <c r="I38" s="442"/>
      <c r="J38" s="275"/>
      <c r="K38" s="275"/>
      <c r="L38" s="275"/>
      <c r="M38" s="275"/>
      <c r="N38" s="275"/>
      <c r="O38" s="275"/>
      <c r="P38" s="275"/>
      <c r="Q38" s="275"/>
    </row>
    <row r="39" spans="1:17" ht="16.5" customHeight="1" x14ac:dyDescent="0.2">
      <c r="A39" s="442"/>
      <c r="B39" s="442"/>
      <c r="C39" s="442"/>
      <c r="D39" s="442"/>
      <c r="E39" s="442"/>
      <c r="F39" s="442"/>
      <c r="G39" s="442"/>
      <c r="H39" s="442"/>
      <c r="I39" s="442"/>
      <c r="J39" s="275"/>
      <c r="K39" s="275"/>
      <c r="L39" s="275"/>
      <c r="M39" s="275"/>
      <c r="N39" s="275"/>
      <c r="O39" s="275"/>
      <c r="P39" s="275"/>
      <c r="Q39" s="275"/>
    </row>
    <row r="40" spans="1:17" ht="16.5" customHeight="1" x14ac:dyDescent="0.2">
      <c r="A40" s="442"/>
      <c r="B40" s="442"/>
      <c r="C40" s="442"/>
      <c r="D40" s="442"/>
      <c r="E40" s="442"/>
      <c r="F40" s="442"/>
      <c r="G40" s="442"/>
      <c r="H40" s="442"/>
      <c r="I40" s="442"/>
    </row>
    <row r="41" spans="1:17" ht="16.5" customHeight="1" x14ac:dyDescent="0.2">
      <c r="A41" s="442"/>
      <c r="B41" s="442"/>
      <c r="C41" s="442"/>
      <c r="D41" s="442"/>
      <c r="E41" s="442"/>
      <c r="F41" s="442"/>
      <c r="G41" s="442"/>
      <c r="H41" s="442"/>
      <c r="I41" s="442"/>
    </row>
    <row r="42" spans="1:17" ht="16.5" customHeight="1" x14ac:dyDescent="0.2">
      <c r="A42" s="442"/>
      <c r="B42" s="442"/>
      <c r="C42" s="442"/>
      <c r="D42" s="442"/>
      <c r="E42" s="442"/>
      <c r="F42" s="442"/>
      <c r="G42" s="442"/>
      <c r="H42" s="442"/>
      <c r="I42" s="442"/>
    </row>
    <row r="43" spans="1:17" ht="16.5" customHeight="1" x14ac:dyDescent="0.2">
      <c r="A43" s="442"/>
      <c r="B43" s="442"/>
      <c r="C43" s="442"/>
      <c r="D43" s="442"/>
      <c r="E43" s="442"/>
      <c r="F43" s="442"/>
      <c r="G43" s="442"/>
      <c r="H43" s="442"/>
      <c r="I43" s="442"/>
    </row>
    <row r="44" spans="1:17" ht="16.5" customHeight="1" x14ac:dyDescent="0.2">
      <c r="A44" s="442"/>
      <c r="B44" s="442"/>
      <c r="C44" s="442"/>
      <c r="D44" s="442"/>
      <c r="E44" s="442"/>
      <c r="F44" s="442"/>
      <c r="G44" s="442"/>
      <c r="H44" s="442"/>
      <c r="I44" s="442"/>
    </row>
    <row r="45" spans="1:17" ht="16.5" customHeight="1" x14ac:dyDescent="0.2">
      <c r="A45" s="442"/>
      <c r="B45" s="442"/>
      <c r="C45" s="442"/>
      <c r="D45" s="442"/>
      <c r="E45" s="442"/>
      <c r="F45" s="442"/>
      <c r="G45" s="442"/>
      <c r="H45" s="442"/>
      <c r="I45" s="442"/>
    </row>
    <row r="46" spans="1:17" ht="16.5" customHeight="1" x14ac:dyDescent="0.2">
      <c r="A46" s="442"/>
      <c r="B46" s="442"/>
      <c r="C46" s="442"/>
      <c r="D46" s="442"/>
      <c r="E46" s="442"/>
      <c r="F46" s="442"/>
      <c r="G46" s="442"/>
      <c r="H46" s="442"/>
      <c r="I46" s="442"/>
    </row>
    <row r="47" spans="1:17" ht="16.5" customHeight="1" x14ac:dyDescent="0.2">
      <c r="A47" s="442"/>
      <c r="B47" s="442"/>
      <c r="C47" s="442"/>
      <c r="D47" s="442"/>
      <c r="E47" s="442"/>
      <c r="F47" s="442"/>
      <c r="G47" s="442"/>
      <c r="H47" s="442"/>
      <c r="I47" s="442"/>
    </row>
    <row r="48" spans="1:17" ht="16.5" customHeight="1" x14ac:dyDescent="0.2">
      <c r="A48" s="442"/>
      <c r="B48" s="442"/>
      <c r="C48" s="442"/>
      <c r="D48" s="442"/>
      <c r="E48" s="442"/>
      <c r="F48" s="442"/>
      <c r="G48" s="442"/>
      <c r="H48" s="442"/>
      <c r="I48" s="442"/>
    </row>
    <row r="49" spans="1:9" x14ac:dyDescent="0.2">
      <c r="A49" s="442"/>
      <c r="B49" s="442"/>
      <c r="C49" s="442"/>
      <c r="D49" s="442"/>
      <c r="E49" s="442"/>
      <c r="F49" s="442"/>
      <c r="G49" s="442"/>
      <c r="H49" s="442"/>
      <c r="I49" s="442"/>
    </row>
    <row r="50" spans="1:9" x14ac:dyDescent="0.2">
      <c r="A50" s="442"/>
      <c r="B50" s="442"/>
      <c r="C50" s="442"/>
      <c r="D50" s="442"/>
      <c r="E50" s="442"/>
      <c r="F50" s="442"/>
      <c r="G50" s="442"/>
      <c r="H50" s="442"/>
      <c r="I50" s="442"/>
    </row>
    <row r="51" spans="1:9" ht="21.75" customHeight="1" x14ac:dyDescent="0.2">
      <c r="A51" s="442"/>
      <c r="B51" s="442"/>
      <c r="C51" s="442"/>
      <c r="D51" s="442"/>
      <c r="E51" s="442"/>
      <c r="F51" s="442"/>
      <c r="G51" s="442"/>
      <c r="H51" s="442"/>
      <c r="I51" s="442"/>
    </row>
    <row r="52" spans="1:9" x14ac:dyDescent="0.2">
      <c r="A52" s="442"/>
      <c r="B52" s="442"/>
      <c r="C52" s="442"/>
      <c r="D52" s="442"/>
      <c r="E52" s="442"/>
      <c r="F52" s="442"/>
      <c r="G52" s="442"/>
      <c r="H52" s="442"/>
      <c r="I52" s="442"/>
    </row>
    <row r="53" spans="1:9" x14ac:dyDescent="0.2">
      <c r="A53" s="442"/>
      <c r="B53" s="442"/>
      <c r="C53" s="442"/>
      <c r="D53" s="442"/>
      <c r="E53" s="442"/>
      <c r="F53" s="442"/>
      <c r="G53" s="442"/>
      <c r="H53" s="442"/>
      <c r="I53" s="442"/>
    </row>
    <row r="54" spans="1:9" x14ac:dyDescent="0.2">
      <c r="A54" s="442"/>
      <c r="B54" s="442"/>
      <c r="C54" s="442"/>
      <c r="D54" s="442"/>
      <c r="E54" s="442"/>
      <c r="F54" s="442"/>
      <c r="G54" s="442"/>
      <c r="H54" s="442"/>
      <c r="I54" s="442"/>
    </row>
    <row r="55" spans="1:9" x14ac:dyDescent="0.2">
      <c r="A55" s="442"/>
      <c r="B55" s="442"/>
      <c r="C55" s="442"/>
      <c r="D55" s="442"/>
      <c r="E55" s="442"/>
      <c r="F55" s="442"/>
      <c r="G55" s="442"/>
      <c r="H55" s="442"/>
      <c r="I55" s="442"/>
    </row>
    <row r="56" spans="1:9" x14ac:dyDescent="0.2">
      <c r="A56" s="442"/>
      <c r="B56" s="442"/>
      <c r="C56" s="442"/>
      <c r="D56" s="442"/>
      <c r="E56" s="442"/>
      <c r="F56" s="442"/>
      <c r="G56" s="442"/>
      <c r="H56" s="442"/>
      <c r="I56" s="442"/>
    </row>
    <row r="57" spans="1:9" x14ac:dyDescent="0.2">
      <c r="A57" s="442"/>
      <c r="B57" s="442"/>
      <c r="C57" s="442"/>
      <c r="D57" s="442"/>
      <c r="E57" s="442"/>
      <c r="F57" s="442"/>
      <c r="G57" s="442"/>
      <c r="H57" s="442"/>
      <c r="I57" s="442"/>
    </row>
    <row r="58" spans="1:9" x14ac:dyDescent="0.2">
      <c r="A58" s="442"/>
      <c r="B58" s="442"/>
      <c r="C58" s="442"/>
      <c r="D58" s="442"/>
      <c r="E58" s="442"/>
      <c r="F58" s="442"/>
      <c r="G58" s="442"/>
      <c r="H58" s="442"/>
      <c r="I58" s="442"/>
    </row>
    <row r="59" spans="1:9" x14ac:dyDescent="0.2">
      <c r="A59" s="442"/>
      <c r="B59" s="442"/>
      <c r="C59" s="442"/>
      <c r="D59" s="442"/>
      <c r="E59" s="442"/>
      <c r="F59" s="442"/>
      <c r="G59" s="442"/>
      <c r="H59" s="442"/>
      <c r="I59" s="442"/>
    </row>
    <row r="60" spans="1:9" x14ac:dyDescent="0.2">
      <c r="A60" s="442"/>
      <c r="B60" s="442"/>
      <c r="C60" s="442"/>
      <c r="D60" s="442"/>
      <c r="E60" s="442"/>
      <c r="F60" s="442"/>
      <c r="G60" s="442"/>
      <c r="H60" s="442"/>
      <c r="I60" s="442"/>
    </row>
    <row r="61" spans="1:9" x14ac:dyDescent="0.2">
      <c r="A61" s="442"/>
      <c r="B61" s="442"/>
      <c r="C61" s="442"/>
      <c r="D61" s="442"/>
      <c r="E61" s="442"/>
      <c r="F61" s="442"/>
      <c r="G61" s="442"/>
      <c r="H61" s="442"/>
      <c r="I61" s="442"/>
    </row>
    <row r="62" spans="1:9" x14ac:dyDescent="0.2">
      <c r="A62" s="442"/>
      <c r="B62" s="442"/>
      <c r="C62" s="442"/>
      <c r="D62" s="442"/>
      <c r="E62" s="442"/>
      <c r="F62" s="442"/>
      <c r="G62" s="442"/>
      <c r="H62" s="442"/>
      <c r="I62" s="442"/>
    </row>
    <row r="63" spans="1:9" x14ac:dyDescent="0.2">
      <c r="A63" s="442"/>
      <c r="B63" s="442"/>
      <c r="C63" s="442"/>
      <c r="D63" s="442"/>
      <c r="E63" s="442"/>
      <c r="F63" s="442"/>
      <c r="G63" s="442"/>
      <c r="H63" s="442"/>
      <c r="I63" s="442"/>
    </row>
    <row r="64" spans="1:9" x14ac:dyDescent="0.2">
      <c r="A64" s="442"/>
      <c r="B64" s="442"/>
      <c r="C64" s="442"/>
      <c r="D64" s="442"/>
      <c r="E64" s="442"/>
      <c r="F64" s="442"/>
      <c r="G64" s="442"/>
      <c r="H64" s="442"/>
      <c r="I64" s="442"/>
    </row>
    <row r="65" spans="1:9" x14ac:dyDescent="0.2">
      <c r="A65" s="442"/>
      <c r="B65" s="442"/>
      <c r="C65" s="442"/>
      <c r="D65" s="442"/>
      <c r="E65" s="442"/>
      <c r="F65" s="442"/>
      <c r="G65" s="442"/>
      <c r="H65" s="442"/>
      <c r="I65" s="442"/>
    </row>
    <row r="66" spans="1:9" x14ac:dyDescent="0.2">
      <c r="A66" s="442"/>
      <c r="B66" s="442"/>
      <c r="C66" s="442"/>
      <c r="D66" s="442"/>
      <c r="E66" s="442"/>
      <c r="F66" s="442"/>
      <c r="G66" s="442"/>
      <c r="H66" s="442"/>
      <c r="I66" s="442"/>
    </row>
    <row r="67" spans="1:9" x14ac:dyDescent="0.2">
      <c r="A67" s="442"/>
      <c r="B67" s="442"/>
      <c r="C67" s="442"/>
      <c r="D67" s="442"/>
      <c r="E67" s="442"/>
      <c r="F67" s="442"/>
      <c r="G67" s="442"/>
      <c r="H67" s="442"/>
      <c r="I67" s="442"/>
    </row>
    <row r="68" spans="1:9" x14ac:dyDescent="0.2">
      <c r="A68" s="442"/>
      <c r="B68" s="442"/>
      <c r="C68" s="442"/>
      <c r="D68" s="442"/>
      <c r="E68" s="442"/>
      <c r="F68" s="442"/>
      <c r="G68" s="442"/>
      <c r="H68" s="442"/>
      <c r="I68" s="442"/>
    </row>
    <row r="69" spans="1:9" x14ac:dyDescent="0.2"/>
    <row r="70" spans="1:9" x14ac:dyDescent="0.2"/>
    <row r="71" spans="1:9" x14ac:dyDescent="0.2"/>
  </sheetData>
  <sheetProtection password="C66B" sheet="1" objects="1" scenarios="1" selectLockedCells="1"/>
  <mergeCells count="18">
    <mergeCell ref="J2:Q2"/>
    <mergeCell ref="A5:A7"/>
    <mergeCell ref="A8:A10"/>
    <mergeCell ref="A32:A34"/>
    <mergeCell ref="A17:A19"/>
    <mergeCell ref="A11:A13"/>
    <mergeCell ref="A26:A28"/>
    <mergeCell ref="A23:A25"/>
    <mergeCell ref="A29:A31"/>
    <mergeCell ref="A20:A22"/>
    <mergeCell ref="A14:A16"/>
    <mergeCell ref="A1:H3"/>
    <mergeCell ref="A36:I68"/>
    <mergeCell ref="J3:R11"/>
    <mergeCell ref="J12:R16"/>
    <mergeCell ref="J17:R17"/>
    <mergeCell ref="J19:R22"/>
    <mergeCell ref="J23:R32"/>
  </mergeCells>
  <pageMargins left="0.7" right="0.7" top="0.99614583333333329" bottom="0.5703125" header="0.3" footer="0.3"/>
  <pageSetup scale="73" orientation="portrait" r:id="rId1"/>
  <headerFooter>
    <oddHeader>&amp;L&amp;G&amp;C&amp;"Calibri,Bold"Performance Improvement Calculator:
PROGRAM PERFORMANCE INPUT&amp;R&amp;G</oddHeader>
    <oddFooter xml:space="preserve">&amp;L&amp;8
For more information on the Performance Improvement Calculator, please contact Anna Blasco at the National Alliance to End Homelessness: ablasco@naeh.org or Megan Kurteff Schatz of Focus Strategies: megan@focusstrategies.net. 
</oddFooter>
  </headerFooter>
  <rowBreaks count="1" manualBreakCount="1">
    <brk id="34"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G37"/>
  <sheetViews>
    <sheetView showGridLines="0" zoomScaleNormal="100" workbookViewId="0">
      <selection activeCell="B17" sqref="B17"/>
    </sheetView>
  </sheetViews>
  <sheetFormatPr defaultColWidth="0" defaultRowHeight="12.75" zeroHeight="1" x14ac:dyDescent="0.2"/>
  <cols>
    <col min="1" max="1" width="25.8984375" style="1" customWidth="1"/>
    <col min="2" max="5" width="10.69921875" style="1" customWidth="1"/>
    <col min="6" max="6" width="8.796875" style="1" hidden="1" customWidth="1"/>
    <col min="7" max="7" width="0" style="1" hidden="1" customWidth="1"/>
    <col min="8" max="16384" width="8.796875" style="1" hidden="1"/>
  </cols>
  <sheetData>
    <row r="1" spans="1:7" ht="15.75" x14ac:dyDescent="0.25">
      <c r="A1" s="352" t="s">
        <v>220</v>
      </c>
    </row>
    <row r="2" spans="1:7" ht="16.5" customHeight="1" x14ac:dyDescent="0.2">
      <c r="A2" s="453" t="s">
        <v>236</v>
      </c>
      <c r="B2" s="453"/>
      <c r="C2" s="453"/>
      <c r="D2" s="453"/>
      <c r="E2" s="453"/>
      <c r="F2" s="143"/>
      <c r="G2" s="143"/>
    </row>
    <row r="3" spans="1:7" ht="22.5" customHeight="1" x14ac:dyDescent="0.2">
      <c r="A3" s="453"/>
      <c r="B3" s="453"/>
      <c r="C3" s="453"/>
      <c r="D3" s="453"/>
      <c r="E3" s="453"/>
      <c r="F3" s="143"/>
      <c r="G3" s="143"/>
    </row>
    <row r="4" spans="1:7" x14ac:dyDescent="0.2">
      <c r="A4" s="453"/>
      <c r="B4" s="453"/>
      <c r="C4" s="453"/>
      <c r="D4" s="453"/>
      <c r="E4" s="453"/>
      <c r="F4" s="143"/>
      <c r="G4" s="143"/>
    </row>
    <row r="5" spans="1:7" x14ac:dyDescent="0.2">
      <c r="A5" s="453"/>
      <c r="B5" s="453"/>
      <c r="C5" s="453"/>
      <c r="D5" s="453"/>
      <c r="E5" s="453"/>
      <c r="F5" s="143"/>
      <c r="G5" s="143"/>
    </row>
    <row r="6" spans="1:7" x14ac:dyDescent="0.2">
      <c r="A6" s="453"/>
      <c r="B6" s="453"/>
      <c r="C6" s="453"/>
      <c r="D6" s="453"/>
      <c r="E6" s="453"/>
      <c r="F6" s="143"/>
      <c r="G6" s="143"/>
    </row>
    <row r="7" spans="1:7" x14ac:dyDescent="0.2">
      <c r="A7" s="453"/>
      <c r="B7" s="453"/>
      <c r="C7" s="453"/>
      <c r="D7" s="453"/>
      <c r="E7" s="453"/>
      <c r="F7" s="143"/>
      <c r="G7" s="143"/>
    </row>
    <row r="8" spans="1:7" ht="56.25" customHeight="1" x14ac:dyDescent="0.2">
      <c r="A8" s="453"/>
      <c r="B8" s="453"/>
      <c r="C8" s="453"/>
      <c r="D8" s="453"/>
      <c r="E8" s="453"/>
      <c r="F8" s="143"/>
      <c r="G8" s="143"/>
    </row>
    <row r="9" spans="1:7" x14ac:dyDescent="0.2">
      <c r="A9" s="143"/>
      <c r="B9" s="143"/>
      <c r="C9" s="143"/>
      <c r="D9" s="143"/>
      <c r="E9" s="143"/>
      <c r="F9" s="143"/>
      <c r="G9" s="143"/>
    </row>
    <row r="10" spans="1:7" x14ac:dyDescent="0.2">
      <c r="A10" s="454" t="s">
        <v>123</v>
      </c>
      <c r="B10" s="454"/>
      <c r="C10" s="454"/>
      <c r="D10" s="454"/>
      <c r="E10" s="454"/>
      <c r="F10" s="143"/>
      <c r="G10" s="143"/>
    </row>
    <row r="11" spans="1:7" x14ac:dyDescent="0.2">
      <c r="A11" s="454"/>
      <c r="B11" s="454"/>
      <c r="C11" s="454"/>
      <c r="D11" s="454"/>
      <c r="E11" s="454"/>
      <c r="F11" s="143"/>
      <c r="G11" s="143"/>
    </row>
    <row r="12" spans="1:7" ht="24" customHeight="1" x14ac:dyDescent="0.2">
      <c r="A12" s="454"/>
      <c r="B12" s="454"/>
      <c r="C12" s="454"/>
      <c r="D12" s="454"/>
      <c r="E12" s="454"/>
      <c r="F12" s="143"/>
      <c r="G12" s="143"/>
    </row>
    <row r="13" spans="1:7" x14ac:dyDescent="0.2">
      <c r="A13" s="15"/>
      <c r="B13" s="143"/>
      <c r="C13" s="143"/>
      <c r="D13" s="143"/>
      <c r="E13" s="143"/>
      <c r="F13" s="143"/>
      <c r="G13" s="143"/>
    </row>
    <row r="14" spans="1:7" s="182" customFormat="1" ht="36.75" customHeight="1" x14ac:dyDescent="0.2">
      <c r="B14" s="189" t="s">
        <v>4</v>
      </c>
      <c r="C14" s="189" t="s">
        <v>3</v>
      </c>
      <c r="D14" s="189" t="s">
        <v>2</v>
      </c>
      <c r="E14" s="189" t="s">
        <v>17</v>
      </c>
    </row>
    <row r="15" spans="1:7" s="182" customFormat="1" ht="15.75" x14ac:dyDescent="0.2">
      <c r="A15" s="455" t="s">
        <v>304</v>
      </c>
      <c r="B15" s="455"/>
      <c r="C15" s="455"/>
      <c r="D15" s="455"/>
      <c r="E15" s="455"/>
    </row>
    <row r="16" spans="1:7" ht="34.5" customHeight="1" x14ac:dyDescent="0.2">
      <c r="A16" s="184" t="s">
        <v>107</v>
      </c>
      <c r="B16" s="52">
        <f>'2.Data Input'!C5</f>
        <v>200</v>
      </c>
      <c r="C16" s="52">
        <f>'2.Data Input'!D5</f>
        <v>170</v>
      </c>
      <c r="D16" s="52">
        <f>'2.Data Input'!E5</f>
        <v>50</v>
      </c>
      <c r="E16" s="52">
        <f>'2.Data Input'!F5</f>
        <v>185</v>
      </c>
    </row>
    <row r="17" spans="1:5" ht="34.5" customHeight="1" x14ac:dyDescent="0.2">
      <c r="A17" s="184" t="s">
        <v>105</v>
      </c>
      <c r="B17" s="191"/>
      <c r="C17" s="191"/>
      <c r="D17" s="191"/>
      <c r="E17" s="191"/>
    </row>
    <row r="18" spans="1:5" ht="34.5" customHeight="1" thickBot="1" x14ac:dyDescent="0.25">
      <c r="A18" s="185" t="s">
        <v>106</v>
      </c>
      <c r="B18" s="192"/>
      <c r="C18" s="192"/>
      <c r="D18" s="192"/>
      <c r="E18" s="192"/>
    </row>
    <row r="19" spans="1:5" ht="34.5" customHeight="1" thickBot="1" x14ac:dyDescent="0.25">
      <c r="A19" s="186" t="s">
        <v>108</v>
      </c>
      <c r="B19" s="187" t="str">
        <f>IFERROR((B18/B17)*B16,"")</f>
        <v/>
      </c>
      <c r="C19" s="187" t="str">
        <f t="shared" ref="C19:E19" si="0">IFERROR((C18/C17)*C16,"")</f>
        <v/>
      </c>
      <c r="D19" s="187" t="str">
        <f t="shared" si="0"/>
        <v/>
      </c>
      <c r="E19" s="188" t="str">
        <f t="shared" si="0"/>
        <v/>
      </c>
    </row>
    <row r="20" spans="1:5" ht="16.5" customHeight="1" x14ac:dyDescent="0.2">
      <c r="A20" s="143"/>
    </row>
    <row r="21" spans="1:5" ht="37.5" customHeight="1" x14ac:dyDescent="0.2">
      <c r="A21" s="182"/>
      <c r="B21" s="183" t="s">
        <v>4</v>
      </c>
      <c r="C21" s="183" t="s">
        <v>3</v>
      </c>
      <c r="D21" s="183" t="s">
        <v>2</v>
      </c>
      <c r="E21" s="183" t="s">
        <v>17</v>
      </c>
    </row>
    <row r="22" spans="1:5" ht="15.75" x14ac:dyDescent="0.2">
      <c r="A22" s="456" t="s">
        <v>104</v>
      </c>
      <c r="B22" s="456"/>
      <c r="C22" s="456"/>
      <c r="D22" s="456"/>
      <c r="E22" s="456"/>
    </row>
    <row r="23" spans="1:5" ht="35.1" customHeight="1" x14ac:dyDescent="0.2">
      <c r="A23" s="184" t="s">
        <v>305</v>
      </c>
      <c r="B23" s="52">
        <f>'2.Data Input'!C6</f>
        <v>90</v>
      </c>
      <c r="C23" s="52">
        <f>'2.Data Input'!D6</f>
        <v>240</v>
      </c>
      <c r="D23" s="52">
        <f>'2.Data Input'!E6</f>
        <v>75</v>
      </c>
      <c r="E23" s="52">
        <f>'2.Data Input'!F6</f>
        <v>80</v>
      </c>
    </row>
    <row r="24" spans="1:5" ht="35.1" customHeight="1" x14ac:dyDescent="0.2">
      <c r="A24" s="184" t="s">
        <v>306</v>
      </c>
      <c r="B24" s="191"/>
      <c r="C24" s="191"/>
      <c r="D24" s="191"/>
      <c r="E24" s="191"/>
    </row>
    <row r="25" spans="1:5" ht="43.15" customHeight="1" thickBot="1" x14ac:dyDescent="0.25">
      <c r="A25" s="185" t="s">
        <v>106</v>
      </c>
      <c r="B25" s="192"/>
      <c r="C25" s="192"/>
      <c r="D25" s="192"/>
      <c r="E25" s="192"/>
    </row>
    <row r="26" spans="1:5" ht="35.1" customHeight="1" thickBot="1" x14ac:dyDescent="0.25">
      <c r="A26" s="186" t="s">
        <v>108</v>
      </c>
      <c r="B26" s="187" t="str">
        <f>IFERROR((B25/B24)*B23,"")</f>
        <v/>
      </c>
      <c r="C26" s="187" t="str">
        <f t="shared" ref="C26" si="1">IFERROR((C25/C24)*C23,"")</f>
        <v/>
      </c>
      <c r="D26" s="187" t="str">
        <f>IFERROR((D25/D24)*D23,"")</f>
        <v/>
      </c>
      <c r="E26" s="188" t="str">
        <f t="shared" ref="E26" si="2">IFERROR((E25/E24)*E23,"")</f>
        <v/>
      </c>
    </row>
    <row r="27" spans="1:5" ht="35.1" hidden="1" customHeight="1" x14ac:dyDescent="0.2"/>
    <row r="28" spans="1:5" ht="35.1" hidden="1" customHeight="1" x14ac:dyDescent="0.2"/>
    <row r="29" spans="1:5" ht="35.1" hidden="1" customHeight="1" x14ac:dyDescent="0.2"/>
    <row r="30" spans="1:5" ht="35.1" hidden="1" customHeight="1" x14ac:dyDescent="0.2"/>
    <row r="31" spans="1:5" ht="35.1" hidden="1" customHeight="1" x14ac:dyDescent="0.2"/>
    <row r="32" spans="1:5" ht="35.1" hidden="1" customHeight="1" x14ac:dyDescent="0.2"/>
    <row r="33" ht="35.1" hidden="1" customHeight="1" x14ac:dyDescent="0.2"/>
    <row r="34" ht="35.1" hidden="1" customHeight="1" x14ac:dyDescent="0.2"/>
    <row r="35" ht="35.1" hidden="1" customHeight="1" x14ac:dyDescent="0.2"/>
    <row r="36" ht="35.1" hidden="1" customHeight="1" x14ac:dyDescent="0.2"/>
    <row r="37" ht="35.1" hidden="1" customHeight="1" x14ac:dyDescent="0.2"/>
  </sheetData>
  <sheetProtection password="C66B" sheet="1" objects="1" scenarios="1" selectLockedCells="1"/>
  <mergeCells count="4">
    <mergeCell ref="A2:E8"/>
    <mergeCell ref="A10:E12"/>
    <mergeCell ref="A15:E15"/>
    <mergeCell ref="A22:E22"/>
  </mergeCells>
  <pageMargins left="0.7" right="0.54427083333333337" top="1" bottom="1.1776041666666666" header="0.3" footer="0.3"/>
  <pageSetup scale="95" orientation="portrait" r:id="rId1"/>
  <headerFooter>
    <oddHeader>&amp;L&amp;G&amp;C&amp;"Calibri,Bold"Performance Improvement Calculator:
INVESTMENT WORKSHEET&amp;R&amp;G</oddHeader>
    <oddFooter xml:space="preserve">&amp;L
&amp;8For more information on the Performance Improvement Calculator, please contact Anna Blasco at the National Alliance to End Homelessness: ablasco@naeh.org or Megan Kurteff Schatz of Focus Strategies: megan@focusstrategies.net.  &amp;12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B1:S60"/>
  <sheetViews>
    <sheetView showGridLines="0" zoomScale="75" zoomScaleNormal="75" zoomScalePageLayoutView="70" workbookViewId="0">
      <selection activeCell="B1" sqref="B1:F1"/>
    </sheetView>
  </sheetViews>
  <sheetFormatPr defaultColWidth="8.796875" defaultRowHeight="12.75" x14ac:dyDescent="0.2"/>
  <cols>
    <col min="1" max="1" width="1.69921875" style="1" customWidth="1"/>
    <col min="2" max="6" width="10.19921875" style="1" customWidth="1"/>
    <col min="7" max="7" width="1.69921875" style="1" customWidth="1"/>
    <col min="8" max="12" width="10.19921875" style="1" customWidth="1"/>
    <col min="13" max="13" width="1.69921875" style="1" customWidth="1"/>
    <col min="14" max="18" width="10.19921875" style="1" customWidth="1"/>
    <col min="19" max="19" width="1.69921875" style="1" customWidth="1"/>
    <col min="20" max="16384" width="8.796875" style="1"/>
  </cols>
  <sheetData>
    <row r="1" spans="2:18" s="370" customFormat="1" ht="42" customHeight="1" x14ac:dyDescent="0.25">
      <c r="B1" s="457" t="s">
        <v>308</v>
      </c>
      <c r="C1" s="457"/>
      <c r="D1" s="457"/>
      <c r="E1" s="457"/>
      <c r="F1" s="457"/>
      <c r="G1" s="145"/>
      <c r="H1" s="457" t="s">
        <v>242</v>
      </c>
      <c r="I1" s="457"/>
      <c r="J1" s="457"/>
      <c r="K1" s="457"/>
      <c r="L1" s="457"/>
      <c r="M1" s="145"/>
      <c r="N1" s="457" t="s">
        <v>243</v>
      </c>
      <c r="O1" s="457"/>
      <c r="P1" s="457"/>
      <c r="Q1" s="457"/>
      <c r="R1" s="457"/>
    </row>
    <row r="2" spans="2:18" s="142" customFormat="1" ht="16.5" customHeight="1" x14ac:dyDescent="0.25">
      <c r="C2" s="459" t="s">
        <v>307</v>
      </c>
      <c r="D2" s="459"/>
      <c r="E2" s="459"/>
      <c r="G2" s="145"/>
      <c r="I2" s="459" t="s">
        <v>44</v>
      </c>
      <c r="J2" s="459"/>
      <c r="K2" s="459"/>
      <c r="M2" s="145"/>
      <c r="O2" s="459" t="s">
        <v>45</v>
      </c>
      <c r="P2" s="459"/>
      <c r="Q2" s="459"/>
    </row>
    <row r="3" spans="2:18" ht="8.25" customHeight="1" x14ac:dyDescent="0.2">
      <c r="G3" s="112"/>
      <c r="M3" s="112"/>
    </row>
    <row r="4" spans="2:18" s="143" customFormat="1" ht="34.5" customHeight="1" x14ac:dyDescent="0.2">
      <c r="B4" s="317"/>
      <c r="C4" s="316" t="s">
        <v>88</v>
      </c>
      <c r="D4" s="316" t="s">
        <v>126</v>
      </c>
      <c r="E4" s="316" t="s">
        <v>89</v>
      </c>
      <c r="F4" s="316" t="s">
        <v>90</v>
      </c>
      <c r="G4" s="318"/>
      <c r="H4" s="317"/>
      <c r="I4" s="316" t="s">
        <v>88</v>
      </c>
      <c r="J4" s="316" t="s">
        <v>126</v>
      </c>
      <c r="K4" s="316" t="s">
        <v>89</v>
      </c>
      <c r="L4" s="316" t="s">
        <v>90</v>
      </c>
      <c r="M4" s="318"/>
      <c r="N4" s="317"/>
      <c r="O4" s="316" t="s">
        <v>88</v>
      </c>
      <c r="P4" s="316" t="s">
        <v>126</v>
      </c>
      <c r="Q4" s="316" t="s">
        <v>89</v>
      </c>
      <c r="R4" s="316" t="s">
        <v>90</v>
      </c>
    </row>
    <row r="5" spans="2:18" ht="16.5" customHeight="1" x14ac:dyDescent="0.25">
      <c r="B5" s="144" t="s">
        <v>32</v>
      </c>
      <c r="C5" s="146">
        <f>'2.Data Input'!C5</f>
        <v>200</v>
      </c>
      <c r="D5" s="146">
        <f>'2.Data Input'!C14</f>
        <v>47.096774193548384</v>
      </c>
      <c r="E5" s="146">
        <f>'2.Data Input'!C11</f>
        <v>1550</v>
      </c>
      <c r="F5" s="146">
        <f>'2.Data Input'!C17</f>
        <v>265</v>
      </c>
      <c r="G5" s="112"/>
      <c r="H5" s="144" t="s">
        <v>32</v>
      </c>
      <c r="I5" s="146">
        <f>'2.Data Input'!C6</f>
        <v>90</v>
      </c>
      <c r="J5" s="146">
        <f>'2.Data Input'!C15</f>
        <v>76.395348837209298</v>
      </c>
      <c r="K5" s="146">
        <f>'2.Data Input'!C12</f>
        <v>430</v>
      </c>
      <c r="L5" s="146">
        <f>'2.Data Input'!C18</f>
        <v>137</v>
      </c>
      <c r="M5" s="112"/>
      <c r="N5" s="144" t="s">
        <v>32</v>
      </c>
      <c r="O5" s="146">
        <f>C5+I5</f>
        <v>290</v>
      </c>
      <c r="P5" s="146">
        <f>'2.Data Input'!C16</f>
        <v>53.459595959595958</v>
      </c>
      <c r="Q5" s="146">
        <f t="shared" ref="Q5:R7" si="0">E5+K5</f>
        <v>1980</v>
      </c>
      <c r="R5" s="146">
        <f t="shared" si="0"/>
        <v>402</v>
      </c>
    </row>
    <row r="6" spans="2:18" ht="16.5" customHeight="1" x14ac:dyDescent="0.25">
      <c r="B6" s="144" t="s">
        <v>33</v>
      </c>
      <c r="C6" s="146">
        <f>'2.Data Input'!D5</f>
        <v>170</v>
      </c>
      <c r="D6" s="146">
        <f>'2.Data Input'!D14</f>
        <v>264.04255319148939</v>
      </c>
      <c r="E6" s="146">
        <f>'2.Data Input'!D11</f>
        <v>235</v>
      </c>
      <c r="F6" s="146">
        <f>'2.Data Input'!D17</f>
        <v>98</v>
      </c>
      <c r="G6" s="112"/>
      <c r="H6" s="144" t="s">
        <v>33</v>
      </c>
      <c r="I6" s="146">
        <f>'2.Data Input'!D6</f>
        <v>240</v>
      </c>
      <c r="J6" s="146">
        <f>'2.Data Input'!D15</f>
        <v>307.36842105263156</v>
      </c>
      <c r="K6" s="146">
        <f>'2.Data Input'!D12</f>
        <v>285</v>
      </c>
      <c r="L6" s="146">
        <f>'2.Data Input'!D18</f>
        <v>158</v>
      </c>
      <c r="M6" s="112"/>
      <c r="N6" s="144" t="s">
        <v>33</v>
      </c>
      <c r="O6" s="146">
        <f>C6+I6</f>
        <v>410</v>
      </c>
      <c r="P6" s="146">
        <f>'2.Data Input'!D16</f>
        <v>287.78846153846155</v>
      </c>
      <c r="Q6" s="146">
        <f t="shared" si="0"/>
        <v>520</v>
      </c>
      <c r="R6" s="146">
        <f t="shared" si="0"/>
        <v>256</v>
      </c>
    </row>
    <row r="7" spans="2:18" ht="16.5" customHeight="1" x14ac:dyDescent="0.25">
      <c r="B7" s="144" t="s">
        <v>54</v>
      </c>
      <c r="C7" s="146">
        <f>'2.Data Input'!E5</f>
        <v>50</v>
      </c>
      <c r="D7" s="146">
        <f>'2.Data Input'!E14</f>
        <v>121.66666666666667</v>
      </c>
      <c r="E7" s="146">
        <f>'2.Data Input'!E11</f>
        <v>150</v>
      </c>
      <c r="F7" s="146">
        <f>'2.Data Input'!E17</f>
        <v>112</v>
      </c>
      <c r="G7" s="112"/>
      <c r="H7" s="144" t="s">
        <v>54</v>
      </c>
      <c r="I7" s="146">
        <f>'2.Data Input'!E6</f>
        <v>75</v>
      </c>
      <c r="J7" s="146">
        <f>'2.Data Input'!E15</f>
        <v>99.545454545454547</v>
      </c>
      <c r="K7" s="146">
        <f>'2.Data Input'!E12</f>
        <v>275</v>
      </c>
      <c r="L7" s="146">
        <f>'2.Data Input'!E18</f>
        <v>235</v>
      </c>
      <c r="M7" s="112"/>
      <c r="N7" s="144" t="s">
        <v>54</v>
      </c>
      <c r="O7" s="146">
        <f>C7+I7</f>
        <v>125</v>
      </c>
      <c r="P7" s="146">
        <f>'2.Data Input'!E16</f>
        <v>107.35294117647059</v>
      </c>
      <c r="Q7" s="146">
        <f t="shared" si="0"/>
        <v>425</v>
      </c>
      <c r="R7" s="146">
        <f t="shared" si="0"/>
        <v>347</v>
      </c>
    </row>
    <row r="8" spans="2:18" ht="16.5" customHeight="1" x14ac:dyDescent="0.25">
      <c r="B8" s="144" t="s">
        <v>64</v>
      </c>
      <c r="C8" s="146">
        <f>'2.Data Input'!F5</f>
        <v>185</v>
      </c>
      <c r="D8" s="146" t="s">
        <v>19</v>
      </c>
      <c r="E8" s="146" t="s">
        <v>19</v>
      </c>
      <c r="F8" s="146" t="s">
        <v>19</v>
      </c>
      <c r="G8" s="112"/>
      <c r="H8" s="144" t="s">
        <v>64</v>
      </c>
      <c r="I8" s="146">
        <f>'2.Data Input'!F6</f>
        <v>80</v>
      </c>
      <c r="J8" s="146" t="s">
        <v>19</v>
      </c>
      <c r="K8" s="146" t="s">
        <v>19</v>
      </c>
      <c r="L8" s="146" t="s">
        <v>19</v>
      </c>
      <c r="M8" s="112"/>
      <c r="N8" s="144" t="s">
        <v>64</v>
      </c>
      <c r="O8" s="146">
        <f>C8+I8</f>
        <v>265</v>
      </c>
      <c r="P8" s="146" t="s">
        <v>19</v>
      </c>
      <c r="Q8" s="146" t="s">
        <v>19</v>
      </c>
      <c r="R8" s="146" t="s">
        <v>19</v>
      </c>
    </row>
    <row r="9" spans="2:18" ht="16.5" customHeight="1" x14ac:dyDescent="0.25">
      <c r="B9" s="144" t="s">
        <v>0</v>
      </c>
      <c r="C9" s="146">
        <f>SUM(C5:C8)</f>
        <v>605</v>
      </c>
      <c r="D9" s="146">
        <f>'2.Data Input'!G14</f>
        <v>114.12144702842377</v>
      </c>
      <c r="E9" s="146">
        <f t="shared" ref="E9:F9" si="1">SUM(E5:E8)</f>
        <v>1935</v>
      </c>
      <c r="F9" s="146">
        <f t="shared" si="1"/>
        <v>475</v>
      </c>
      <c r="G9" s="112"/>
      <c r="H9" s="144" t="s">
        <v>0</v>
      </c>
      <c r="I9" s="146">
        <f>SUM(I5:I8)</f>
        <v>485</v>
      </c>
      <c r="J9" s="146">
        <f>'2.Data Input'!G15</f>
        <v>178.81313131313132</v>
      </c>
      <c r="K9" s="146">
        <f t="shared" ref="K9" si="2">SUM(K5:K8)</f>
        <v>990</v>
      </c>
      <c r="L9" s="146">
        <f t="shared" ref="L9" si="3">SUM(L5:L8)</f>
        <v>530</v>
      </c>
      <c r="M9" s="112"/>
      <c r="N9" s="144" t="s">
        <v>0</v>
      </c>
      <c r="O9" s="146">
        <f>SUM(O5:O8)</f>
        <v>1090</v>
      </c>
      <c r="P9" s="146">
        <f>'2.Data Input'!G16</f>
        <v>136.01709401709402</v>
      </c>
      <c r="Q9" s="146">
        <f t="shared" ref="Q9:R9" si="4">SUM(Q5:Q8)</f>
        <v>2925</v>
      </c>
      <c r="R9" s="146">
        <f t="shared" si="4"/>
        <v>1005</v>
      </c>
    </row>
    <row r="10" spans="2:18" x14ac:dyDescent="0.2">
      <c r="G10" s="112"/>
      <c r="M10" s="112"/>
    </row>
    <row r="11" spans="2:18" x14ac:dyDescent="0.2">
      <c r="G11" s="112"/>
      <c r="M11" s="112"/>
    </row>
    <row r="12" spans="2:18" x14ac:dyDescent="0.2">
      <c r="G12" s="112"/>
      <c r="M12" s="112"/>
    </row>
    <row r="13" spans="2:18" x14ac:dyDescent="0.2">
      <c r="G13" s="112"/>
      <c r="M13" s="112"/>
    </row>
    <row r="14" spans="2:18" x14ac:dyDescent="0.2">
      <c r="G14" s="112"/>
      <c r="M14" s="112"/>
    </row>
    <row r="15" spans="2:18" x14ac:dyDescent="0.2">
      <c r="G15" s="112"/>
      <c r="M15" s="112"/>
    </row>
    <row r="16" spans="2:18" x14ac:dyDescent="0.2">
      <c r="G16" s="112"/>
      <c r="M16" s="112"/>
    </row>
    <row r="17" spans="2:18" x14ac:dyDescent="0.2">
      <c r="G17" s="112"/>
      <c r="M17" s="112"/>
    </row>
    <row r="18" spans="2:18" x14ac:dyDescent="0.2">
      <c r="G18" s="112"/>
      <c r="M18" s="112"/>
    </row>
    <row r="19" spans="2:18" x14ac:dyDescent="0.2">
      <c r="G19" s="112"/>
      <c r="M19" s="112"/>
    </row>
    <row r="20" spans="2:18" x14ac:dyDescent="0.2">
      <c r="G20" s="112"/>
      <c r="M20" s="112"/>
    </row>
    <row r="21" spans="2:18" x14ac:dyDescent="0.2">
      <c r="G21" s="112"/>
      <c r="M21" s="112"/>
    </row>
    <row r="22" spans="2:18" x14ac:dyDescent="0.2">
      <c r="G22" s="112"/>
      <c r="M22" s="112"/>
    </row>
    <row r="23" spans="2:18" x14ac:dyDescent="0.2">
      <c r="G23" s="112"/>
      <c r="M23" s="112"/>
    </row>
    <row r="24" spans="2:18" x14ac:dyDescent="0.2">
      <c r="G24" s="112"/>
      <c r="M24" s="112"/>
    </row>
    <row r="25" spans="2:18" x14ac:dyDescent="0.2">
      <c r="G25" s="112"/>
      <c r="M25" s="112"/>
    </row>
    <row r="26" spans="2:18" s="331" customFormat="1" ht="66.75" customHeight="1" x14ac:dyDescent="0.2">
      <c r="B26" s="458" t="s">
        <v>309</v>
      </c>
      <c r="C26" s="458"/>
      <c r="D26" s="458"/>
      <c r="E26" s="458"/>
      <c r="F26" s="458"/>
      <c r="G26" s="349"/>
      <c r="H26" s="458" t="s">
        <v>244</v>
      </c>
      <c r="I26" s="458"/>
      <c r="J26" s="458"/>
      <c r="K26" s="458"/>
      <c r="L26" s="458"/>
      <c r="M26" s="349"/>
      <c r="N26" s="458" t="s">
        <v>245</v>
      </c>
      <c r="O26" s="458"/>
      <c r="P26" s="458"/>
      <c r="Q26" s="458"/>
      <c r="R26" s="458"/>
    </row>
    <row r="27" spans="2:18" x14ac:dyDescent="0.2">
      <c r="G27" s="112"/>
      <c r="M27" s="112"/>
    </row>
    <row r="28" spans="2:18" x14ac:dyDescent="0.2">
      <c r="G28" s="112"/>
      <c r="M28" s="112"/>
    </row>
    <row r="29" spans="2:18" x14ac:dyDescent="0.2">
      <c r="G29" s="112"/>
      <c r="M29" s="112"/>
    </row>
    <row r="30" spans="2:18" x14ac:dyDescent="0.2">
      <c r="G30" s="112"/>
      <c r="M30" s="112"/>
    </row>
    <row r="31" spans="2:18" x14ac:dyDescent="0.2">
      <c r="G31" s="112"/>
      <c r="M31" s="112"/>
    </row>
    <row r="32" spans="2:18" x14ac:dyDescent="0.2">
      <c r="G32" s="112"/>
      <c r="M32" s="112"/>
    </row>
    <row r="33" spans="7:13" x14ac:dyDescent="0.2">
      <c r="G33" s="112"/>
      <c r="M33" s="112"/>
    </row>
    <row r="34" spans="7:13" x14ac:dyDescent="0.2">
      <c r="G34" s="112"/>
      <c r="M34" s="112"/>
    </row>
    <row r="35" spans="7:13" x14ac:dyDescent="0.2">
      <c r="G35" s="112"/>
      <c r="M35" s="112"/>
    </row>
    <row r="36" spans="7:13" x14ac:dyDescent="0.2">
      <c r="G36" s="112"/>
      <c r="M36" s="112"/>
    </row>
    <row r="37" spans="7:13" x14ac:dyDescent="0.2">
      <c r="G37" s="112"/>
      <c r="M37" s="112"/>
    </row>
    <row r="38" spans="7:13" x14ac:dyDescent="0.2">
      <c r="G38" s="112"/>
      <c r="M38" s="112"/>
    </row>
    <row r="39" spans="7:13" x14ac:dyDescent="0.2">
      <c r="G39" s="112"/>
      <c r="M39" s="112"/>
    </row>
    <row r="40" spans="7:13" x14ac:dyDescent="0.2">
      <c r="G40" s="112"/>
      <c r="M40" s="112"/>
    </row>
    <row r="41" spans="7:13" x14ac:dyDescent="0.2">
      <c r="G41" s="112"/>
      <c r="M41" s="112"/>
    </row>
    <row r="42" spans="7:13" x14ac:dyDescent="0.2">
      <c r="G42" s="112"/>
      <c r="M42" s="112"/>
    </row>
    <row r="43" spans="7:13" x14ac:dyDescent="0.2">
      <c r="G43" s="112"/>
      <c r="M43" s="112"/>
    </row>
    <row r="44" spans="7:13" x14ac:dyDescent="0.2">
      <c r="G44" s="112"/>
      <c r="M44" s="112"/>
    </row>
    <row r="45" spans="7:13" x14ac:dyDescent="0.2">
      <c r="G45" s="112"/>
      <c r="M45" s="112"/>
    </row>
    <row r="46" spans="7:13" x14ac:dyDescent="0.2">
      <c r="G46" s="112"/>
      <c r="M46" s="112"/>
    </row>
    <row r="47" spans="7:13" x14ac:dyDescent="0.2">
      <c r="G47" s="112"/>
      <c r="M47" s="112"/>
    </row>
    <row r="48" spans="7:13" x14ac:dyDescent="0.2">
      <c r="G48" s="112"/>
      <c r="M48" s="112"/>
    </row>
    <row r="49" spans="2:19" x14ac:dyDescent="0.2">
      <c r="G49" s="112"/>
      <c r="M49" s="112"/>
    </row>
    <row r="50" spans="2:19" x14ac:dyDescent="0.2">
      <c r="G50" s="112"/>
      <c r="M50" s="112"/>
    </row>
    <row r="51" spans="2:19" x14ac:dyDescent="0.2">
      <c r="G51" s="112"/>
      <c r="M51" s="112"/>
    </row>
    <row r="52" spans="2:19" x14ac:dyDescent="0.2">
      <c r="G52" s="112"/>
      <c r="M52" s="112"/>
    </row>
    <row r="53" spans="2:19" x14ac:dyDescent="0.2">
      <c r="G53" s="112"/>
      <c r="M53" s="112"/>
    </row>
    <row r="54" spans="2:19" x14ac:dyDescent="0.2">
      <c r="G54" s="112"/>
      <c r="M54" s="112"/>
    </row>
    <row r="55" spans="2:19" x14ac:dyDescent="0.2">
      <c r="G55" s="112"/>
      <c r="M55" s="112"/>
    </row>
    <row r="56" spans="2:19" x14ac:dyDescent="0.2">
      <c r="G56" s="112"/>
      <c r="M56" s="112"/>
    </row>
    <row r="57" spans="2:19" x14ac:dyDescent="0.2">
      <c r="G57" s="112"/>
      <c r="M57" s="112"/>
    </row>
    <row r="58" spans="2:19" x14ac:dyDescent="0.2">
      <c r="G58" s="112"/>
      <c r="M58" s="112"/>
    </row>
    <row r="59" spans="2:19" x14ac:dyDescent="0.2">
      <c r="G59" s="112"/>
      <c r="M59" s="112"/>
    </row>
    <row r="60" spans="2:19" s="331" customFormat="1" ht="69.75" customHeight="1" x14ac:dyDescent="0.2">
      <c r="B60" s="458" t="s">
        <v>310</v>
      </c>
      <c r="C60" s="458"/>
      <c r="D60" s="458"/>
      <c r="E60" s="458"/>
      <c r="F60" s="458"/>
      <c r="G60" s="112"/>
      <c r="H60" s="458" t="s">
        <v>270</v>
      </c>
      <c r="I60" s="458"/>
      <c r="J60" s="458"/>
      <c r="K60" s="458"/>
      <c r="L60" s="458"/>
      <c r="M60" s="112"/>
      <c r="N60" s="458" t="s">
        <v>271</v>
      </c>
      <c r="O60" s="458"/>
      <c r="P60" s="458"/>
      <c r="Q60" s="458"/>
      <c r="R60" s="458"/>
      <c r="S60" s="458"/>
    </row>
  </sheetData>
  <sheetProtection password="C66B" sheet="1" objects="1" scenarios="1" selectLockedCells="1"/>
  <mergeCells count="12">
    <mergeCell ref="B1:F1"/>
    <mergeCell ref="H1:L1"/>
    <mergeCell ref="N1:R1"/>
    <mergeCell ref="N60:S60"/>
    <mergeCell ref="H60:L60"/>
    <mergeCell ref="B60:F60"/>
    <mergeCell ref="O2:Q2"/>
    <mergeCell ref="I2:K2"/>
    <mergeCell ref="C2:E2"/>
    <mergeCell ref="N26:R26"/>
    <mergeCell ref="H26:L26"/>
    <mergeCell ref="B26:F26"/>
  </mergeCells>
  <printOptions horizontalCentered="1"/>
  <pageMargins left="0.5" right="0.5" top="1" bottom="1" header="0.3" footer="0.3"/>
  <pageSetup scale="98" orientation="portrait" r:id="rId1"/>
  <headerFooter>
    <oddHeader>&amp;L&amp;G&amp;C&amp;"Calibri,Bold"Performance Improvement Calculator:
CURRENT SYSTEM OUTCOMES&amp;R&amp;G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26" max="5" man="1"/>
    <brk id="26" min="7" max="11" man="1"/>
    <brk id="26" min="13" max="18" man="1"/>
  </rowBreaks>
  <colBreaks count="2" manualBreakCount="2">
    <brk id="7" max="1048575" man="1"/>
    <brk id="13" min="1" max="47"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B1:O50"/>
  <sheetViews>
    <sheetView showGridLines="0" topLeftCell="F1" zoomScale="85" zoomScaleNormal="85" workbookViewId="0">
      <selection activeCell="F14" sqref="F14"/>
    </sheetView>
  </sheetViews>
  <sheetFormatPr defaultColWidth="8.796875" defaultRowHeight="12.75" x14ac:dyDescent="0.2"/>
  <cols>
    <col min="1" max="1" width="1.69921875" style="1" customWidth="1"/>
    <col min="2" max="5" width="12.3984375" style="1" customWidth="1"/>
    <col min="6" max="6" width="1.69921875" style="1" customWidth="1"/>
    <col min="7" max="10" width="12.3984375" style="1" customWidth="1"/>
    <col min="11" max="11" width="1.69921875" style="1" customWidth="1"/>
    <col min="12" max="15" width="12.3984375" style="1" customWidth="1"/>
    <col min="16" max="16" width="1.69921875" style="1" customWidth="1"/>
    <col min="17" max="16384" width="8.796875" style="1"/>
  </cols>
  <sheetData>
    <row r="1" spans="2:15" s="370" customFormat="1" ht="42" customHeight="1" x14ac:dyDescent="0.25">
      <c r="B1" s="457" t="s">
        <v>311</v>
      </c>
      <c r="C1" s="457"/>
      <c r="D1" s="457"/>
      <c r="E1" s="457"/>
      <c r="F1" s="145"/>
      <c r="G1" s="457" t="s">
        <v>246</v>
      </c>
      <c r="H1" s="457"/>
      <c r="I1" s="457"/>
      <c r="J1" s="457"/>
      <c r="K1" s="145"/>
      <c r="L1" s="457" t="s">
        <v>247</v>
      </c>
      <c r="M1" s="457"/>
      <c r="N1" s="457"/>
      <c r="O1" s="457"/>
    </row>
    <row r="2" spans="2:15" s="142" customFormat="1" ht="16.5" customHeight="1" x14ac:dyDescent="0.25">
      <c r="C2" s="459" t="s">
        <v>307</v>
      </c>
      <c r="D2" s="459"/>
      <c r="F2" s="145"/>
      <c r="H2" s="459" t="s">
        <v>44</v>
      </c>
      <c r="I2" s="459"/>
      <c r="K2" s="145"/>
      <c r="M2" s="459" t="s">
        <v>45</v>
      </c>
      <c r="N2" s="459"/>
    </row>
    <row r="3" spans="2:15" x14ac:dyDescent="0.2">
      <c r="F3" s="112"/>
      <c r="K3" s="112"/>
    </row>
    <row r="4" spans="2:15" x14ac:dyDescent="0.2">
      <c r="F4" s="112"/>
      <c r="K4" s="112"/>
    </row>
    <row r="5" spans="2:15" x14ac:dyDescent="0.2">
      <c r="F5" s="112"/>
      <c r="K5" s="112"/>
    </row>
    <row r="6" spans="2:15" x14ac:dyDescent="0.2">
      <c r="F6" s="112"/>
      <c r="K6" s="112"/>
    </row>
    <row r="7" spans="2:15" x14ac:dyDescent="0.2">
      <c r="F7" s="112"/>
      <c r="K7" s="112"/>
    </row>
    <row r="8" spans="2:15" x14ac:dyDescent="0.2">
      <c r="F8" s="112"/>
      <c r="K8" s="112"/>
    </row>
    <row r="9" spans="2:15" x14ac:dyDescent="0.2">
      <c r="F9" s="112"/>
      <c r="K9" s="112"/>
    </row>
    <row r="10" spans="2:15" x14ac:dyDescent="0.2">
      <c r="F10" s="112"/>
      <c r="K10" s="112"/>
    </row>
    <row r="11" spans="2:15" x14ac:dyDescent="0.2">
      <c r="F11" s="112"/>
      <c r="K11" s="112"/>
    </row>
    <row r="12" spans="2:15" x14ac:dyDescent="0.2">
      <c r="F12" s="112"/>
      <c r="K12" s="112"/>
    </row>
    <row r="13" spans="2:15" x14ac:dyDescent="0.2">
      <c r="F13" s="112"/>
      <c r="K13" s="112"/>
    </row>
    <row r="14" spans="2:15" x14ac:dyDescent="0.2">
      <c r="F14" s="112"/>
      <c r="K14" s="112"/>
    </row>
    <row r="15" spans="2:15" x14ac:dyDescent="0.2">
      <c r="F15" s="112"/>
      <c r="K15" s="112"/>
    </row>
    <row r="16" spans="2:15" x14ac:dyDescent="0.2">
      <c r="F16" s="112"/>
      <c r="K16" s="112"/>
    </row>
    <row r="17" spans="6:11" x14ac:dyDescent="0.2">
      <c r="F17" s="112"/>
      <c r="K17" s="112"/>
    </row>
    <row r="18" spans="6:11" x14ac:dyDescent="0.2">
      <c r="F18" s="112"/>
      <c r="K18" s="112"/>
    </row>
    <row r="19" spans="6:11" x14ac:dyDescent="0.2">
      <c r="F19" s="112"/>
      <c r="K19" s="112"/>
    </row>
    <row r="20" spans="6:11" x14ac:dyDescent="0.2">
      <c r="F20" s="112"/>
      <c r="K20" s="112"/>
    </row>
    <row r="21" spans="6:11" x14ac:dyDescent="0.2">
      <c r="F21" s="112"/>
      <c r="K21" s="112"/>
    </row>
    <row r="22" spans="6:11" x14ac:dyDescent="0.2">
      <c r="F22" s="112"/>
      <c r="K22" s="112"/>
    </row>
    <row r="23" spans="6:11" x14ac:dyDescent="0.2">
      <c r="F23" s="112"/>
      <c r="K23" s="112"/>
    </row>
    <row r="24" spans="6:11" x14ac:dyDescent="0.2">
      <c r="F24" s="112"/>
      <c r="K24" s="112"/>
    </row>
    <row r="25" spans="6:11" x14ac:dyDescent="0.2">
      <c r="F25" s="112"/>
      <c r="K25" s="112"/>
    </row>
    <row r="26" spans="6:11" x14ac:dyDescent="0.2">
      <c r="F26" s="112"/>
      <c r="K26" s="112"/>
    </row>
    <row r="27" spans="6:11" x14ac:dyDescent="0.2">
      <c r="F27" s="112"/>
      <c r="K27" s="112"/>
    </row>
    <row r="28" spans="6:11" x14ac:dyDescent="0.2">
      <c r="F28" s="112"/>
      <c r="K28" s="112"/>
    </row>
    <row r="29" spans="6:11" x14ac:dyDescent="0.2">
      <c r="F29" s="112"/>
      <c r="K29" s="112"/>
    </row>
    <row r="30" spans="6:11" x14ac:dyDescent="0.2">
      <c r="F30" s="112"/>
      <c r="K30" s="112"/>
    </row>
    <row r="31" spans="6:11" x14ac:dyDescent="0.2">
      <c r="F31" s="112"/>
      <c r="K31" s="112"/>
    </row>
    <row r="32" spans="6:11" x14ac:dyDescent="0.2">
      <c r="F32" s="112"/>
      <c r="K32" s="112"/>
    </row>
    <row r="33" spans="2:15" x14ac:dyDescent="0.2">
      <c r="F33" s="112"/>
      <c r="K33" s="112"/>
    </row>
    <row r="34" spans="2:15" x14ac:dyDescent="0.2">
      <c r="F34" s="112"/>
      <c r="K34" s="112"/>
    </row>
    <row r="35" spans="2:15" x14ac:dyDescent="0.2">
      <c r="F35" s="112"/>
      <c r="K35" s="112"/>
    </row>
    <row r="36" spans="2:15" x14ac:dyDescent="0.2">
      <c r="F36" s="112"/>
      <c r="K36" s="112"/>
    </row>
    <row r="37" spans="2:15" x14ac:dyDescent="0.2">
      <c r="F37" s="112"/>
      <c r="K37" s="112"/>
    </row>
    <row r="38" spans="2:15" x14ac:dyDescent="0.2">
      <c r="F38" s="112"/>
      <c r="K38" s="112"/>
    </row>
    <row r="39" spans="2:15" x14ac:dyDescent="0.2">
      <c r="F39" s="112"/>
      <c r="K39" s="112"/>
    </row>
    <row r="40" spans="2:15" s="369" customFormat="1" ht="87" customHeight="1" x14ac:dyDescent="0.2">
      <c r="B40" s="458" t="s">
        <v>248</v>
      </c>
      <c r="C40" s="458"/>
      <c r="D40" s="458"/>
      <c r="E40" s="458"/>
      <c r="F40" s="349"/>
      <c r="G40" s="458" t="s">
        <v>248</v>
      </c>
      <c r="H40" s="458"/>
      <c r="I40" s="458"/>
      <c r="J40" s="458"/>
      <c r="K40" s="349"/>
      <c r="L40" s="458" t="s">
        <v>248</v>
      </c>
      <c r="M40" s="458"/>
      <c r="N40" s="458"/>
      <c r="O40" s="458"/>
    </row>
    <row r="41" spans="2:15" customFormat="1" ht="15.75" x14ac:dyDescent="0.2">
      <c r="F41" s="349"/>
      <c r="K41" s="349"/>
    </row>
    <row r="42" spans="2:15" customFormat="1" ht="15" x14ac:dyDescent="0.2"/>
    <row r="43" spans="2:15" customFormat="1" ht="15" x14ac:dyDescent="0.2"/>
    <row r="44" spans="2:15" customFormat="1" ht="15" x14ac:dyDescent="0.2"/>
    <row r="45" spans="2:15" customFormat="1" ht="15" x14ac:dyDescent="0.2"/>
    <row r="46" spans="2:15" customFormat="1" ht="15" x14ac:dyDescent="0.2"/>
    <row r="47" spans="2:15" customFormat="1" ht="15" x14ac:dyDescent="0.2"/>
    <row r="48" spans="2:15" customFormat="1" ht="15" x14ac:dyDescent="0.2"/>
    <row r="49" customFormat="1" ht="15" x14ac:dyDescent="0.2"/>
    <row r="50" customFormat="1" ht="15" x14ac:dyDescent="0.2"/>
  </sheetData>
  <sheetProtection password="C66B" sheet="1" objects="1" scenarios="1" selectLockedCells="1"/>
  <mergeCells count="9">
    <mergeCell ref="L1:O1"/>
    <mergeCell ref="G1:J1"/>
    <mergeCell ref="B1:E1"/>
    <mergeCell ref="L40:O40"/>
    <mergeCell ref="G40:J40"/>
    <mergeCell ref="B40:E40"/>
    <mergeCell ref="C2:D2"/>
    <mergeCell ref="H2:I2"/>
    <mergeCell ref="M2:N2"/>
  </mergeCells>
  <printOptions horizontalCentered="1"/>
  <pageMargins left="0.5" right="0.5" top="0.94791666666666663" bottom="1" header="0.3" footer="0.3"/>
  <pageSetup orientation="portrait" r:id="rId1"/>
  <headerFooter>
    <oddHeader>&amp;L&amp;G&amp;C&amp;"Calibri,Bold"Performance Improvement Calculator:
CURRENT SYSTEM INVESTMENTS/COSTS&amp;"Verdana,Regular"
&amp;R&amp;G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2" manualBreakCount="2">
    <brk id="41" min="6" max="9" man="1"/>
    <brk id="41" min="11" max="15" man="1"/>
  </rowBreaks>
  <colBreaks count="2" manualBreakCount="2">
    <brk id="6" max="1048575" man="1"/>
    <brk id="11" min="2" max="48" man="1"/>
  </colBreaks>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A1:JC43"/>
  <sheetViews>
    <sheetView showGridLines="0" zoomScale="85" zoomScaleNormal="85" zoomScaleSheetLayoutView="50" workbookViewId="0">
      <selection activeCell="K6" sqref="K6"/>
    </sheetView>
  </sheetViews>
  <sheetFormatPr defaultColWidth="0" defaultRowHeight="15" customHeight="1" zeroHeight="1" x14ac:dyDescent="0.25"/>
  <cols>
    <col min="1" max="1" width="1.59765625" style="59" customWidth="1"/>
    <col min="2" max="2" width="11.69921875" style="59" customWidth="1"/>
    <col min="3" max="3" width="2.69921875" style="59" customWidth="1"/>
    <col min="4" max="5" width="12.3984375" style="59" customWidth="1"/>
    <col min="6" max="6" width="12.3984375" customWidth="1"/>
    <col min="7" max="7" width="1.59765625" customWidth="1"/>
    <col min="8" max="8" width="11.69921875" style="59" customWidth="1"/>
    <col min="9" max="9" width="2.69921875" style="59" customWidth="1"/>
    <col min="10" max="11" width="12.3984375" style="59" customWidth="1"/>
    <col min="12" max="12" width="12.3984375" customWidth="1"/>
    <col min="13" max="13" width="1.59765625" customWidth="1"/>
    <col min="14" max="14" width="13.3984375" style="59" bestFit="1" customWidth="1"/>
    <col min="15" max="16" width="12.3984375" style="59" customWidth="1"/>
    <col min="17" max="17" width="12.3984375" customWidth="1"/>
    <col min="18" max="25" width="6.59765625" style="59" hidden="1" customWidth="1"/>
    <col min="26" max="26" width="13.8984375" style="59" hidden="1" customWidth="1"/>
    <col min="27" max="27" width="10.5" style="59" hidden="1" customWidth="1"/>
    <col min="28" max="28" width="9.09765625" style="59" hidden="1" customWidth="1"/>
    <col min="29" max="260" width="6.59765625" style="59" hidden="1" customWidth="1"/>
    <col min="261" max="263" width="6.59765625" style="60" hidden="1" customWidth="1"/>
    <col min="264" max="16384" width="7.19921875" style="60" hidden="1"/>
  </cols>
  <sheetData>
    <row r="1" spans="1:17" ht="69.75" customHeight="1" x14ac:dyDescent="0.25">
      <c r="B1" s="460" t="s">
        <v>312</v>
      </c>
      <c r="C1" s="460"/>
      <c r="D1" s="460"/>
      <c r="E1" s="460"/>
      <c r="F1" s="460"/>
      <c r="G1" s="125"/>
      <c r="H1" s="460" t="s">
        <v>249</v>
      </c>
      <c r="I1" s="460"/>
      <c r="J1" s="460"/>
      <c r="K1" s="460"/>
      <c r="L1" s="460"/>
      <c r="M1" s="125"/>
      <c r="N1" s="460" t="s">
        <v>250</v>
      </c>
      <c r="O1" s="460"/>
      <c r="P1" s="460"/>
      <c r="Q1" s="460"/>
    </row>
    <row r="2" spans="1:17" ht="15.75" customHeight="1" x14ac:dyDescent="0.25">
      <c r="A2" s="193"/>
      <c r="B2" s="193"/>
      <c r="C2" s="193"/>
      <c r="D2" s="461" t="s">
        <v>307</v>
      </c>
      <c r="E2" s="461"/>
      <c r="F2" s="194"/>
      <c r="G2" s="125"/>
      <c r="H2" s="56"/>
      <c r="I2" s="56"/>
      <c r="J2" s="461" t="s">
        <v>44</v>
      </c>
      <c r="K2" s="461"/>
      <c r="M2" s="125"/>
      <c r="N2"/>
      <c r="O2" s="461" t="s">
        <v>45</v>
      </c>
      <c r="P2" s="461"/>
    </row>
    <row r="3" spans="1:17" ht="30.75" customHeight="1" x14ac:dyDescent="0.25">
      <c r="A3" s="56"/>
      <c r="B3" s="220"/>
      <c r="C3" s="220"/>
      <c r="D3" s="61" t="s">
        <v>59</v>
      </c>
      <c r="E3" s="61" t="s">
        <v>60</v>
      </c>
      <c r="G3" s="125"/>
      <c r="H3" s="220"/>
      <c r="I3" s="220"/>
      <c r="J3" s="61" t="s">
        <v>59</v>
      </c>
      <c r="K3" s="61" t="s">
        <v>60</v>
      </c>
      <c r="M3" s="125"/>
      <c r="N3"/>
      <c r="O3" s="61" t="s">
        <v>59</v>
      </c>
      <c r="P3" s="61" t="s">
        <v>60</v>
      </c>
    </row>
    <row r="4" spans="1:17" ht="15.95" customHeight="1" x14ac:dyDescent="0.25">
      <c r="B4" s="116" t="s">
        <v>4</v>
      </c>
      <c r="C4" s="116"/>
      <c r="D4" s="94">
        <f>'2.Data Input'!C20</f>
        <v>0.17096774193548386</v>
      </c>
      <c r="E4" s="175"/>
      <c r="F4" s="190"/>
      <c r="G4" s="125"/>
      <c r="H4" s="116" t="s">
        <v>4</v>
      </c>
      <c r="I4" s="116"/>
      <c r="J4" s="94">
        <f>'2.Data Input'!C21</f>
        <v>0.31860465116279069</v>
      </c>
      <c r="K4" s="175"/>
      <c r="M4" s="125"/>
      <c r="N4" s="116" t="s">
        <v>4</v>
      </c>
      <c r="O4" s="94">
        <f>TRUNC('2.Data Input'!C22,2)</f>
        <v>0.2</v>
      </c>
      <c r="P4" s="95">
        <f>IF(Formulas!AI19='6.Change PH Exits'!O4,"",Formulas!AI19)</f>
        <v>0.20303030303030303</v>
      </c>
    </row>
    <row r="5" spans="1:17" ht="15.95" customHeight="1" x14ac:dyDescent="0.25">
      <c r="B5" s="116" t="s">
        <v>3</v>
      </c>
      <c r="C5" s="116"/>
      <c r="D5" s="94">
        <f>'2.Data Input'!D20</f>
        <v>0.41702127659574467</v>
      </c>
      <c r="E5" s="175"/>
      <c r="F5" s="190"/>
      <c r="G5" s="125"/>
      <c r="H5" s="116" t="s">
        <v>3</v>
      </c>
      <c r="I5" s="116"/>
      <c r="J5" s="94">
        <f>'2.Data Input'!D21</f>
        <v>0.55438596491228065</v>
      </c>
      <c r="K5" s="175"/>
      <c r="M5" s="125"/>
      <c r="N5" s="116" t="s">
        <v>3</v>
      </c>
      <c r="O5" s="94">
        <f>TRUNC('2.Data Input'!D22,2)</f>
        <v>0.49</v>
      </c>
      <c r="P5" s="95">
        <f>IF(Formulas!AI20='6.Change PH Exits'!O5,"",Formulas!AI20)</f>
        <v>0.49230769230769228</v>
      </c>
    </row>
    <row r="6" spans="1:17" ht="15.95" customHeight="1" x14ac:dyDescent="0.25">
      <c r="B6" s="116" t="s">
        <v>2</v>
      </c>
      <c r="C6" s="116"/>
      <c r="D6" s="94">
        <f>'2.Data Input'!E20</f>
        <v>0.7466666666666667</v>
      </c>
      <c r="E6" s="175"/>
      <c r="F6" s="190"/>
      <c r="G6" s="125"/>
      <c r="H6" s="116" t="s">
        <v>2</v>
      </c>
      <c r="I6" s="116"/>
      <c r="J6" s="94">
        <f>'2.Data Input'!E21</f>
        <v>0.8545454545454545</v>
      </c>
      <c r="K6" s="175"/>
      <c r="M6" s="125"/>
      <c r="N6" s="116" t="s">
        <v>2</v>
      </c>
      <c r="O6" s="94">
        <f>TRUNC('2.Data Input'!E22,2)</f>
        <v>0.81</v>
      </c>
      <c r="P6" s="95">
        <f>IF(Formulas!AI21='6.Change PH Exits'!O6,"",Formulas!AI21)</f>
        <v>0.81647058823529417</v>
      </c>
    </row>
    <row r="7" spans="1:17" ht="15.95" customHeight="1" x14ac:dyDescent="0.25">
      <c r="A7" s="60"/>
      <c r="B7" s="60"/>
      <c r="C7" s="60"/>
      <c r="D7" s="60"/>
      <c r="E7" s="56"/>
      <c r="G7" s="125"/>
      <c r="H7" s="56"/>
      <c r="I7" s="56"/>
      <c r="J7" s="56"/>
      <c r="K7" s="56"/>
      <c r="M7" s="125"/>
      <c r="N7"/>
      <c r="O7"/>
      <c r="P7"/>
    </row>
    <row r="8" spans="1:17" ht="15.95" customHeight="1" x14ac:dyDescent="0.25">
      <c r="A8" s="60"/>
      <c r="B8" s="60"/>
      <c r="C8" s="60"/>
      <c r="D8" s="60"/>
      <c r="E8" s="56"/>
      <c r="G8" s="125"/>
      <c r="H8" s="56"/>
      <c r="I8" s="56"/>
      <c r="J8" s="56"/>
      <c r="K8" s="56"/>
      <c r="M8" s="125"/>
      <c r="N8" s="56"/>
      <c r="O8" s="56"/>
      <c r="P8" s="56"/>
    </row>
    <row r="9" spans="1:17" ht="15.95" customHeight="1" x14ac:dyDescent="0.25">
      <c r="A9" s="60"/>
      <c r="B9" s="60"/>
      <c r="C9" s="60"/>
      <c r="D9" s="60"/>
      <c r="E9" s="56"/>
      <c r="G9" s="125"/>
      <c r="H9" s="56"/>
      <c r="I9" s="56"/>
      <c r="J9" s="56"/>
      <c r="K9" s="56"/>
      <c r="M9" s="125"/>
      <c r="N9" s="56"/>
      <c r="O9" s="56"/>
      <c r="P9" s="56"/>
    </row>
    <row r="10" spans="1:17" ht="15.95" customHeight="1" x14ac:dyDescent="0.25">
      <c r="A10" s="60"/>
      <c r="B10" s="60"/>
      <c r="C10" s="60"/>
      <c r="D10" s="60"/>
      <c r="E10" s="56"/>
      <c r="G10" s="125"/>
      <c r="H10" s="56"/>
      <c r="I10" s="56"/>
      <c r="J10" s="56"/>
      <c r="K10" s="56"/>
      <c r="M10" s="125"/>
      <c r="N10" s="56"/>
      <c r="O10" s="56"/>
      <c r="P10" s="56"/>
    </row>
    <row r="11" spans="1:17" ht="15.95" customHeight="1" x14ac:dyDescent="0.25">
      <c r="A11" s="60"/>
      <c r="B11" s="60"/>
      <c r="C11" s="60"/>
      <c r="D11" s="60"/>
      <c r="E11" s="56"/>
      <c r="G11" s="125"/>
      <c r="H11" s="56"/>
      <c r="I11" s="56"/>
      <c r="J11" s="56"/>
      <c r="K11" s="56"/>
      <c r="M11" s="125"/>
      <c r="N11" s="56"/>
      <c r="O11" s="56"/>
      <c r="P11" s="56"/>
    </row>
    <row r="12" spans="1:17" ht="15.95" customHeight="1" x14ac:dyDescent="0.25">
      <c r="A12" s="60"/>
      <c r="B12" s="60"/>
      <c r="C12" s="60"/>
      <c r="D12" s="60"/>
      <c r="E12" s="56"/>
      <c r="G12" s="125"/>
      <c r="H12" s="56"/>
      <c r="I12" s="56"/>
      <c r="J12" s="56"/>
      <c r="K12" s="56"/>
      <c r="M12" s="125"/>
      <c r="N12" s="56"/>
      <c r="O12" s="56"/>
      <c r="P12" s="56"/>
    </row>
    <row r="13" spans="1:17" ht="15.95" customHeight="1" x14ac:dyDescent="0.25">
      <c r="A13" s="60"/>
      <c r="B13" s="60"/>
      <c r="C13" s="60"/>
      <c r="D13" s="60"/>
      <c r="E13" s="56"/>
      <c r="G13" s="125"/>
      <c r="H13" s="56"/>
      <c r="I13" s="56"/>
      <c r="J13" s="56"/>
      <c r="K13" s="56"/>
      <c r="M13" s="125"/>
      <c r="N13" s="56"/>
      <c r="O13" s="56"/>
      <c r="P13" s="56"/>
    </row>
    <row r="14" spans="1:17" ht="15.95" customHeight="1" x14ac:dyDescent="0.25">
      <c r="A14" s="56"/>
      <c r="B14" s="56"/>
      <c r="C14" s="56"/>
      <c r="D14" s="56"/>
      <c r="E14" s="56"/>
      <c r="G14" s="125"/>
      <c r="H14" s="56"/>
      <c r="I14" s="56"/>
      <c r="J14" s="56"/>
      <c r="K14" s="56"/>
      <c r="M14" s="125"/>
      <c r="N14" s="56"/>
      <c r="O14" s="56"/>
      <c r="P14" s="56"/>
    </row>
    <row r="15" spans="1:17" ht="15.95" customHeight="1" x14ac:dyDescent="0.25">
      <c r="A15" s="56"/>
      <c r="B15" s="56"/>
      <c r="C15" s="56"/>
      <c r="D15" s="56"/>
      <c r="E15" s="56"/>
      <c r="G15" s="125"/>
      <c r="H15" s="56"/>
      <c r="I15" s="56"/>
      <c r="J15" s="56"/>
      <c r="K15" s="56"/>
      <c r="M15" s="125"/>
      <c r="N15" s="56"/>
      <c r="O15" s="56"/>
      <c r="P15" s="56"/>
    </row>
    <row r="16" spans="1:17" ht="15.95" customHeight="1" x14ac:dyDescent="0.25">
      <c r="A16" s="56"/>
      <c r="B16" s="56"/>
      <c r="C16" s="56"/>
      <c r="D16" s="56"/>
      <c r="E16" s="56"/>
      <c r="G16" s="125"/>
      <c r="H16" s="56"/>
      <c r="I16" s="56"/>
      <c r="J16" s="56"/>
      <c r="K16" s="56"/>
      <c r="M16" s="125"/>
      <c r="N16" s="56"/>
      <c r="O16" s="56"/>
      <c r="P16" s="56"/>
    </row>
    <row r="17" spans="1:260" ht="15.95" customHeight="1" x14ac:dyDescent="0.25">
      <c r="A17" s="56"/>
      <c r="B17" s="56"/>
      <c r="C17" s="56"/>
      <c r="D17" s="56"/>
      <c r="E17" s="56"/>
      <c r="G17" s="125"/>
      <c r="H17" s="56"/>
      <c r="I17" s="56"/>
      <c r="J17" s="56"/>
      <c r="K17" s="56"/>
      <c r="M17" s="125"/>
      <c r="N17" s="56"/>
      <c r="O17" s="56"/>
      <c r="P17" s="56"/>
    </row>
    <row r="18" spans="1:260" ht="15.95" customHeight="1" x14ac:dyDescent="0.25">
      <c r="A18" s="56"/>
      <c r="B18" s="56"/>
      <c r="C18" s="56"/>
      <c r="D18" s="56"/>
      <c r="E18" s="76"/>
      <c r="G18" s="125"/>
      <c r="H18" s="76"/>
      <c r="I18" s="76"/>
      <c r="J18" s="76"/>
      <c r="K18" s="76"/>
      <c r="M18" s="125"/>
      <c r="N18" s="56"/>
      <c r="O18" s="56"/>
      <c r="P18" s="56"/>
    </row>
    <row r="19" spans="1:260" ht="15.95" customHeight="1" x14ac:dyDescent="0.25">
      <c r="A19" s="56"/>
      <c r="B19" s="56"/>
      <c r="C19" s="56"/>
      <c r="D19" s="56"/>
      <c r="E19" s="76"/>
      <c r="G19" s="125"/>
      <c r="H19" s="76"/>
      <c r="I19" s="76"/>
      <c r="J19" s="76"/>
      <c r="K19" s="76"/>
      <c r="M19" s="125"/>
      <c r="N19" s="56"/>
      <c r="O19" s="56"/>
      <c r="P19" s="56"/>
    </row>
    <row r="20" spans="1:260" ht="15.95" customHeight="1" x14ac:dyDescent="0.25">
      <c r="A20" s="56"/>
      <c r="B20" s="56"/>
      <c r="C20" s="56"/>
      <c r="D20" s="56"/>
      <c r="E20" s="76"/>
      <c r="G20" s="125"/>
      <c r="H20" s="76"/>
      <c r="I20" s="76"/>
      <c r="J20" s="76"/>
      <c r="K20" s="76"/>
      <c r="M20" s="125"/>
      <c r="N20" s="56"/>
      <c r="O20" s="56"/>
      <c r="P20" s="56"/>
    </row>
    <row r="21" spans="1:260" ht="15.95" customHeight="1" x14ac:dyDescent="0.25">
      <c r="A21" s="56"/>
      <c r="B21" s="56"/>
      <c r="C21" s="56"/>
      <c r="D21" s="56"/>
      <c r="E21" s="76"/>
      <c r="G21" s="125"/>
      <c r="H21" s="76"/>
      <c r="I21" s="76"/>
      <c r="J21" s="76"/>
      <c r="K21" s="76"/>
      <c r="M21" s="125"/>
      <c r="N21" s="56"/>
      <c r="O21" s="56"/>
      <c r="P21" s="56"/>
    </row>
    <row r="22" spans="1:260" s="148" customFormat="1" ht="54.75" customHeight="1" x14ac:dyDescent="0.25">
      <c r="A22" s="332"/>
      <c r="B22" s="463" t="s">
        <v>313</v>
      </c>
      <c r="C22" s="463"/>
      <c r="D22" s="463"/>
      <c r="E22" s="463"/>
      <c r="F22" s="463"/>
      <c r="G22" s="145"/>
      <c r="H22" s="458" t="s">
        <v>222</v>
      </c>
      <c r="I22" s="458"/>
      <c r="J22" s="458"/>
      <c r="K22" s="458"/>
      <c r="L22" s="458"/>
      <c r="M22" s="145"/>
      <c r="N22" s="463" t="s">
        <v>223</v>
      </c>
      <c r="O22" s="463"/>
      <c r="P22" s="463"/>
      <c r="Q22" s="463"/>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row>
    <row r="23" spans="1:260" ht="15" customHeight="1" x14ac:dyDescent="0.25">
      <c r="E23" s="76"/>
      <c r="G23" s="125"/>
      <c r="H23" s="76"/>
      <c r="I23" s="76"/>
      <c r="J23" s="76"/>
      <c r="K23" s="76"/>
      <c r="M23" s="125"/>
    </row>
    <row r="24" spans="1:260" ht="15" customHeight="1" x14ac:dyDescent="0.25">
      <c r="G24" s="125"/>
      <c r="M24" s="125"/>
    </row>
    <row r="25" spans="1:260" ht="15" customHeight="1" x14ac:dyDescent="0.25">
      <c r="G25" s="125"/>
      <c r="M25" s="125"/>
    </row>
    <row r="26" spans="1:260" ht="15" customHeight="1" x14ac:dyDescent="0.25">
      <c r="G26" s="125"/>
      <c r="M26" s="125"/>
    </row>
    <row r="27" spans="1:260" ht="15" customHeight="1" x14ac:dyDescent="0.25">
      <c r="G27" s="125"/>
      <c r="M27" s="125"/>
    </row>
    <row r="28" spans="1:260" ht="15" customHeight="1" x14ac:dyDescent="0.25">
      <c r="G28" s="125"/>
      <c r="M28" s="125"/>
    </row>
    <row r="29" spans="1:260" ht="15" customHeight="1" x14ac:dyDescent="0.25">
      <c r="G29" s="125"/>
      <c r="M29" s="125"/>
    </row>
    <row r="30" spans="1:260" ht="15" customHeight="1" x14ac:dyDescent="0.25">
      <c r="G30" s="125"/>
      <c r="M30" s="125"/>
    </row>
    <row r="31" spans="1:260" ht="15" customHeight="1" x14ac:dyDescent="0.25">
      <c r="G31" s="125"/>
      <c r="M31" s="125"/>
    </row>
    <row r="32" spans="1:260" ht="15" customHeight="1" x14ac:dyDescent="0.25">
      <c r="G32" s="125"/>
      <c r="M32" s="125"/>
    </row>
    <row r="33" spans="1:260" ht="15" customHeight="1" x14ac:dyDescent="0.25">
      <c r="G33" s="125"/>
      <c r="M33" s="125"/>
    </row>
    <row r="34" spans="1:260" ht="15" customHeight="1" x14ac:dyDescent="0.25">
      <c r="G34" s="125"/>
      <c r="M34" s="125"/>
    </row>
    <row r="35" spans="1:260" ht="15" customHeight="1" x14ac:dyDescent="0.25">
      <c r="G35" s="125"/>
      <c r="M35" s="125"/>
    </row>
    <row r="36" spans="1:260" ht="15" customHeight="1" x14ac:dyDescent="0.25">
      <c r="G36" s="125"/>
      <c r="M36" s="125"/>
    </row>
    <row r="37" spans="1:260" ht="15" customHeight="1" x14ac:dyDescent="0.25">
      <c r="G37" s="125"/>
      <c r="M37" s="125"/>
    </row>
    <row r="38" spans="1:260" s="148" customFormat="1" ht="81" customHeight="1" x14ac:dyDescent="0.25">
      <c r="A38" s="167"/>
      <c r="B38" s="462" t="s">
        <v>314</v>
      </c>
      <c r="C38" s="462"/>
      <c r="D38" s="462"/>
      <c r="E38" s="462"/>
      <c r="F38" s="462"/>
      <c r="G38" s="145"/>
      <c r="H38" s="462" t="s">
        <v>251</v>
      </c>
      <c r="I38" s="462"/>
      <c r="J38" s="462"/>
      <c r="K38" s="462"/>
      <c r="L38" s="462"/>
      <c r="M38" s="145"/>
      <c r="N38" s="462" t="s">
        <v>252</v>
      </c>
      <c r="O38" s="462"/>
      <c r="P38" s="462"/>
      <c r="Q38" s="462"/>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c r="IW38" s="167"/>
      <c r="IX38" s="167"/>
      <c r="IY38" s="167"/>
      <c r="IZ38" s="167"/>
    </row>
    <row r="39" spans="1:260" ht="15" hidden="1" customHeight="1" x14ac:dyDescent="0.25"/>
    <row r="40" spans="1:260" ht="15" hidden="1" customHeight="1" x14ac:dyDescent="0.25"/>
    <row r="41" spans="1:260" ht="15" hidden="1" customHeight="1" x14ac:dyDescent="0.25"/>
    <row r="42" spans="1:260" ht="15" hidden="1" customHeight="1" x14ac:dyDescent="0.25"/>
    <row r="43" spans="1:260" ht="15" hidden="1" customHeight="1" x14ac:dyDescent="0.25"/>
  </sheetData>
  <sheetProtection password="C66B" sheet="1" objects="1" scenarios="1" selectLockedCells="1"/>
  <mergeCells count="12">
    <mergeCell ref="N38:Q38"/>
    <mergeCell ref="H38:L38"/>
    <mergeCell ref="B38:F38"/>
    <mergeCell ref="N22:Q22"/>
    <mergeCell ref="H22:L22"/>
    <mergeCell ref="B22:F22"/>
    <mergeCell ref="B1:F1"/>
    <mergeCell ref="O2:P2"/>
    <mergeCell ref="D2:E2"/>
    <mergeCell ref="J2:K2"/>
    <mergeCell ref="N1:Q1"/>
    <mergeCell ref="H1:L1"/>
  </mergeCells>
  <printOptions horizontalCentered="1"/>
  <pageMargins left="1" right="1" top="1" bottom="0.51041666699999999" header="0" footer="0"/>
  <pageSetup scale="80" orientation="portrait" r:id="rId1"/>
  <headerFooter alignWithMargins="0">
    <oddHeader>&amp;L&amp;G&amp;C&amp;"Calibri,Bold"Outcome Improvement Calculator:
CHANGE IN PERMANENT HOUSING EXIT RATE&amp;R&amp;G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colBreaks count="2" manualBreakCount="2">
    <brk id="6" max="1048575" man="1"/>
    <brk id="1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Label 1">
              <controlPr defaultSize="0" autoFill="0" autoLine="0" autoPict="0">
                <anchor moveWithCells="1" sizeWithCells="1">
                  <from>
                    <xdr:col>4</xdr:col>
                    <xdr:colOff>1028700</xdr:colOff>
                    <xdr:row>7</xdr:row>
                    <xdr:rowOff>76200</xdr:rowOff>
                  </from>
                  <to>
                    <xdr:col>5</xdr:col>
                    <xdr:colOff>866775</xdr:colOff>
                    <xdr:row>8</xdr:row>
                    <xdr:rowOff>114300</xdr:rowOff>
                  </to>
                </anchor>
              </controlPr>
            </control>
          </mc:Choice>
        </mc:AlternateContent>
        <mc:AlternateContent xmlns:mc="http://schemas.openxmlformats.org/markup-compatibility/2006">
          <mc:Choice Requires="x14">
            <control shapeId="14338" r:id="rId6" name="Label 2">
              <controlPr defaultSize="0" autoFill="0" autoLine="0" autoPict="0">
                <anchor moveWithCells="1" sizeWithCells="1">
                  <from>
                    <xdr:col>4</xdr:col>
                    <xdr:colOff>1104900</xdr:colOff>
                    <xdr:row>22</xdr:row>
                    <xdr:rowOff>171450</xdr:rowOff>
                  </from>
                  <to>
                    <xdr:col>5</xdr:col>
                    <xdr:colOff>904875</xdr:colOff>
                    <xdr:row>24</xdr:row>
                    <xdr:rowOff>28575</xdr:rowOff>
                  </to>
                </anchor>
              </controlPr>
            </control>
          </mc:Choice>
        </mc:AlternateContent>
        <mc:AlternateContent xmlns:mc="http://schemas.openxmlformats.org/markup-compatibility/2006">
          <mc:Choice Requires="x14">
            <control shapeId="14339" r:id="rId7" name="Label 3">
              <controlPr defaultSize="0" autoFill="0" autoLine="0" autoPict="0">
                <anchor moveWithCells="1" sizeWithCells="1">
                  <from>
                    <xdr:col>10</xdr:col>
                    <xdr:colOff>1152525</xdr:colOff>
                    <xdr:row>7</xdr:row>
                    <xdr:rowOff>104775</xdr:rowOff>
                  </from>
                  <to>
                    <xdr:col>11</xdr:col>
                    <xdr:colOff>952500</xdr:colOff>
                    <xdr:row>8</xdr:row>
                    <xdr:rowOff>114300</xdr:rowOff>
                  </to>
                </anchor>
              </controlPr>
            </control>
          </mc:Choice>
        </mc:AlternateContent>
        <mc:AlternateContent xmlns:mc="http://schemas.openxmlformats.org/markup-compatibility/2006">
          <mc:Choice Requires="x14">
            <control shapeId="14340" r:id="rId8" name="Label 4">
              <controlPr defaultSize="0" autoFill="0" autoLine="0" autoPict="0">
                <anchor moveWithCells="1" sizeWithCells="1">
                  <from>
                    <xdr:col>11</xdr:col>
                    <xdr:colOff>38100</xdr:colOff>
                    <xdr:row>22</xdr:row>
                    <xdr:rowOff>66675</xdr:rowOff>
                  </from>
                  <to>
                    <xdr:col>11</xdr:col>
                    <xdr:colOff>1028700</xdr:colOff>
                    <xdr:row>23</xdr:row>
                    <xdr:rowOff>104775</xdr:rowOff>
                  </to>
                </anchor>
              </controlPr>
            </control>
          </mc:Choice>
        </mc:AlternateContent>
        <mc:AlternateContent xmlns:mc="http://schemas.openxmlformats.org/markup-compatibility/2006">
          <mc:Choice Requires="x14">
            <control shapeId="14341" r:id="rId9" name="Label 5">
              <controlPr defaultSize="0" autoFill="0" autoLine="0" autoPict="0">
                <anchor moveWithCells="1" sizeWithCells="1">
                  <from>
                    <xdr:col>15</xdr:col>
                    <xdr:colOff>1009650</xdr:colOff>
                    <xdr:row>7</xdr:row>
                    <xdr:rowOff>66675</xdr:rowOff>
                  </from>
                  <to>
                    <xdr:col>16</xdr:col>
                    <xdr:colOff>914400</xdr:colOff>
                    <xdr:row>8</xdr:row>
                    <xdr:rowOff>104775</xdr:rowOff>
                  </to>
                </anchor>
              </controlPr>
            </control>
          </mc:Choice>
        </mc:AlternateContent>
        <mc:AlternateContent xmlns:mc="http://schemas.openxmlformats.org/markup-compatibility/2006">
          <mc:Choice Requires="x14">
            <control shapeId="14342" r:id="rId10" name="Label 6">
              <controlPr defaultSize="0" autoFill="0" autoLine="0" autoPict="0">
                <anchor moveWithCells="1" sizeWithCells="1">
                  <from>
                    <xdr:col>16</xdr:col>
                    <xdr:colOff>0</xdr:colOff>
                    <xdr:row>23</xdr:row>
                    <xdr:rowOff>57150</xdr:rowOff>
                  </from>
                  <to>
                    <xdr:col>16</xdr:col>
                    <xdr:colOff>981075</xdr:colOff>
                    <xdr:row>24</xdr:row>
                    <xdr:rowOff>104775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sheetPr>
  <dimension ref="A1:IY56"/>
  <sheetViews>
    <sheetView showGridLines="0" zoomScale="85" zoomScaleNormal="85" zoomScalePageLayoutView="70" workbookViewId="0">
      <selection activeCell="K5" sqref="K5"/>
    </sheetView>
  </sheetViews>
  <sheetFormatPr defaultColWidth="7.19921875" defaultRowHeight="15" customHeight="1" zeroHeight="1" x14ac:dyDescent="0.25"/>
  <cols>
    <col min="1" max="1" width="2.5" style="59" bestFit="1" customWidth="1"/>
    <col min="2" max="2" width="11.69921875" style="59" customWidth="1"/>
    <col min="3" max="3" width="2.796875" style="59" customWidth="1"/>
    <col min="4" max="6" width="12.3984375" style="59" customWidth="1"/>
    <col min="7" max="7" width="1.59765625" style="59" customWidth="1"/>
    <col min="8" max="8" width="11.69921875" style="59" customWidth="1"/>
    <col min="9" max="9" width="2.69921875" style="59" customWidth="1"/>
    <col min="10" max="12" width="12.3984375" style="59" customWidth="1"/>
    <col min="13" max="13" width="1.59765625" style="59" customWidth="1"/>
    <col min="14" max="16" width="12.3984375" style="59" customWidth="1"/>
    <col min="17" max="18" width="12.3984375" style="58" customWidth="1"/>
    <col min="19" max="24" width="6.59765625" style="58" customWidth="1"/>
    <col min="25" max="25" width="13.8984375" style="58" bestFit="1" customWidth="1"/>
    <col min="26" max="26" width="10.5" style="58" bestFit="1" customWidth="1"/>
    <col min="27" max="27" width="9.09765625" style="58" bestFit="1" customWidth="1"/>
    <col min="28" max="259" width="6.59765625" style="59" customWidth="1"/>
    <col min="260" max="16384" width="7.19921875" style="60"/>
  </cols>
  <sheetData>
    <row r="1" spans="1:259" ht="76.5" customHeight="1" x14ac:dyDescent="0.25">
      <c r="B1" s="460" t="s">
        <v>315</v>
      </c>
      <c r="C1" s="460"/>
      <c r="D1" s="460"/>
      <c r="E1" s="460"/>
      <c r="F1" s="460"/>
      <c r="G1" s="120"/>
      <c r="H1" s="460" t="s">
        <v>316</v>
      </c>
      <c r="I1" s="460"/>
      <c r="J1" s="460"/>
      <c r="K1" s="460"/>
      <c r="L1" s="460"/>
      <c r="M1" s="124"/>
      <c r="N1" s="460" t="s">
        <v>317</v>
      </c>
      <c r="O1" s="460"/>
      <c r="P1" s="460"/>
      <c r="Q1" s="460"/>
    </row>
    <row r="2" spans="1:259" ht="15" customHeight="1" x14ac:dyDescent="0.25">
      <c r="A2" s="113"/>
      <c r="B2" s="238"/>
      <c r="C2" s="238"/>
      <c r="D2" s="464" t="s">
        <v>307</v>
      </c>
      <c r="E2" s="465"/>
      <c r="F2" s="114"/>
      <c r="G2" s="120"/>
      <c r="H2" s="60"/>
      <c r="I2" s="238"/>
      <c r="J2" s="464" t="s">
        <v>44</v>
      </c>
      <c r="K2" s="465"/>
      <c r="L2" s="114"/>
      <c r="M2" s="124"/>
      <c r="N2" s="60"/>
      <c r="O2" s="464" t="s">
        <v>45</v>
      </c>
      <c r="P2" s="465"/>
      <c r="Q2" s="62"/>
      <c r="R2" s="115"/>
      <c r="S2" s="115"/>
      <c r="T2" s="115"/>
      <c r="U2" s="115"/>
      <c r="V2" s="115"/>
      <c r="W2" s="115"/>
      <c r="X2" s="115"/>
      <c r="Y2" s="115"/>
      <c r="Z2" s="115"/>
      <c r="AA2" s="115"/>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row>
    <row r="3" spans="1:259" ht="30" customHeight="1" x14ac:dyDescent="0.25">
      <c r="A3" s="56"/>
      <c r="B3" s="239"/>
      <c r="C3" s="239"/>
      <c r="D3" s="61" t="s">
        <v>7</v>
      </c>
      <c r="E3" s="61" t="s">
        <v>8</v>
      </c>
      <c r="G3" s="119"/>
      <c r="J3" s="61" t="s">
        <v>7</v>
      </c>
      <c r="K3" s="61" t="s">
        <v>8</v>
      </c>
      <c r="M3" s="122"/>
      <c r="O3" s="61" t="s">
        <v>7</v>
      </c>
      <c r="P3" s="61" t="s">
        <v>8</v>
      </c>
      <c r="Q3" s="62"/>
    </row>
    <row r="4" spans="1:259" ht="15" customHeight="1" x14ac:dyDescent="0.25">
      <c r="A4" s="63"/>
      <c r="B4" s="116" t="s">
        <v>4</v>
      </c>
      <c r="C4" s="116"/>
      <c r="D4" s="64">
        <f>Formulas!Q5</f>
        <v>47.096774193548384</v>
      </c>
      <c r="E4" s="176"/>
      <c r="G4" s="123"/>
      <c r="H4" s="116" t="s">
        <v>4</v>
      </c>
      <c r="I4" s="116"/>
      <c r="J4" s="64">
        <f>Formulas!Q12</f>
        <v>76.395348837209298</v>
      </c>
      <c r="K4" s="176"/>
      <c r="M4" s="123"/>
      <c r="N4" s="116" t="s">
        <v>4</v>
      </c>
      <c r="O4" s="64">
        <f>Formulas!Q19</f>
        <v>53.459595959595958</v>
      </c>
      <c r="P4" s="68" t="str">
        <f>IF(Formulas!T19=O4,"",Formulas!T19)</f>
        <v/>
      </c>
      <c r="Q4" s="62"/>
    </row>
    <row r="5" spans="1:259" ht="15" customHeight="1" x14ac:dyDescent="0.25">
      <c r="A5" s="63"/>
      <c r="B5" s="116" t="s">
        <v>82</v>
      </c>
      <c r="C5" s="116"/>
      <c r="D5" s="64">
        <f>Formulas!Q6</f>
        <v>264.04255319148939</v>
      </c>
      <c r="E5" s="176"/>
      <c r="G5" s="123"/>
      <c r="H5" s="116" t="s">
        <v>82</v>
      </c>
      <c r="I5" s="116"/>
      <c r="J5" s="64">
        <f>Formulas!Q13</f>
        <v>307.36842105263156</v>
      </c>
      <c r="K5" s="176"/>
      <c r="M5" s="123"/>
      <c r="N5" s="116" t="s">
        <v>82</v>
      </c>
      <c r="O5" s="64">
        <f>Formulas!Q20</f>
        <v>287.78846153846155</v>
      </c>
      <c r="P5" s="68" t="str">
        <f>IF(Formulas!T20=O5,"",Formulas!T20)</f>
        <v/>
      </c>
      <c r="Q5" s="62"/>
    </row>
    <row r="6" spans="1:259" ht="15" customHeight="1" x14ac:dyDescent="0.25">
      <c r="A6" s="63"/>
      <c r="B6" s="116" t="s">
        <v>83</v>
      </c>
      <c r="C6" s="116"/>
      <c r="D6" s="64">
        <f>Formulas!Q7</f>
        <v>121.66666666666667</v>
      </c>
      <c r="E6" s="176"/>
      <c r="G6" s="123"/>
      <c r="H6" s="116" t="s">
        <v>83</v>
      </c>
      <c r="I6" s="116"/>
      <c r="J6" s="64">
        <f>Formulas!Q14</f>
        <v>99.545454545454547</v>
      </c>
      <c r="K6" s="176"/>
      <c r="M6" s="123"/>
      <c r="N6" s="116" t="s">
        <v>83</v>
      </c>
      <c r="O6" s="64">
        <f>Formulas!Q21</f>
        <v>107.35294117647059</v>
      </c>
      <c r="P6" s="68" t="str">
        <f>IF(Formulas!T21=O6,"",Formulas!T21)</f>
        <v/>
      </c>
      <c r="Q6" s="62"/>
    </row>
    <row r="7" spans="1:259" customFormat="1" ht="15" customHeight="1" x14ac:dyDescent="0.25">
      <c r="G7" s="123"/>
      <c r="M7" s="123"/>
    </row>
    <row r="8" spans="1:259" ht="15" customHeight="1" x14ac:dyDescent="0.25">
      <c r="A8" s="63"/>
      <c r="B8" s="116"/>
      <c r="C8" s="116"/>
      <c r="D8"/>
      <c r="E8"/>
      <c r="G8" s="123"/>
      <c r="H8" s="116"/>
      <c r="I8" s="116"/>
      <c r="J8"/>
      <c r="K8"/>
      <c r="M8" s="123"/>
      <c r="N8" s="116"/>
      <c r="O8"/>
      <c r="P8"/>
      <c r="Q8" s="62"/>
    </row>
    <row r="9" spans="1:259" ht="15" customHeight="1" x14ac:dyDescent="0.25">
      <c r="A9" s="63"/>
      <c r="B9" s="116"/>
      <c r="C9" s="116"/>
      <c r="D9"/>
      <c r="E9"/>
      <c r="G9" s="123"/>
      <c r="H9" s="116"/>
      <c r="I9" s="116"/>
      <c r="J9"/>
      <c r="K9"/>
      <c r="M9" s="123"/>
      <c r="N9" s="116"/>
      <c r="O9"/>
      <c r="P9"/>
      <c r="Q9" s="62"/>
    </row>
    <row r="10" spans="1:259" ht="15" customHeight="1" x14ac:dyDescent="0.25">
      <c r="A10" s="63"/>
      <c r="B10" s="116"/>
      <c r="C10" s="116"/>
      <c r="D10"/>
      <c r="E10"/>
      <c r="G10" s="123"/>
      <c r="H10" s="116"/>
      <c r="I10" s="116"/>
      <c r="J10"/>
      <c r="K10"/>
      <c r="M10" s="123"/>
      <c r="N10" s="116"/>
      <c r="O10"/>
      <c r="P10"/>
      <c r="Q10" s="62"/>
    </row>
    <row r="11" spans="1:259" ht="15" customHeight="1" x14ac:dyDescent="0.25">
      <c r="A11" s="63"/>
      <c r="B11" s="116"/>
      <c r="C11" s="116"/>
      <c r="D11"/>
      <c r="E11"/>
      <c r="G11" s="123"/>
      <c r="H11" s="116"/>
      <c r="I11" s="116"/>
      <c r="J11"/>
      <c r="K11"/>
      <c r="M11" s="123"/>
      <c r="N11" s="116"/>
      <c r="O11"/>
      <c r="P11"/>
      <c r="Q11" s="62"/>
    </row>
    <row r="12" spans="1:259" ht="15" customHeight="1" x14ac:dyDescent="0.25">
      <c r="A12" s="63"/>
      <c r="B12" s="116"/>
      <c r="C12" s="116"/>
      <c r="D12"/>
      <c r="E12"/>
      <c r="G12" s="123"/>
      <c r="H12" s="116"/>
      <c r="I12" s="116"/>
      <c r="J12"/>
      <c r="K12"/>
      <c r="M12" s="123"/>
      <c r="N12" s="116"/>
      <c r="O12"/>
      <c r="P12"/>
      <c r="Q12" s="62"/>
    </row>
    <row r="13" spans="1:259" ht="15" customHeight="1" x14ac:dyDescent="0.25">
      <c r="A13" s="63"/>
      <c r="B13" s="116"/>
      <c r="C13" s="116"/>
      <c r="D13"/>
      <c r="E13"/>
      <c r="G13" s="123"/>
      <c r="H13" s="116"/>
      <c r="I13" s="116"/>
      <c r="J13"/>
      <c r="K13"/>
      <c r="M13" s="123"/>
      <c r="N13" s="116"/>
      <c r="O13"/>
      <c r="P13"/>
      <c r="Q13" s="62"/>
    </row>
    <row r="14" spans="1:259" ht="15" customHeight="1" x14ac:dyDescent="0.25">
      <c r="A14" s="63"/>
      <c r="B14" s="116"/>
      <c r="C14" s="116"/>
      <c r="D14"/>
      <c r="E14"/>
      <c r="G14" s="123"/>
      <c r="H14" s="116"/>
      <c r="I14" s="116"/>
      <c r="J14"/>
      <c r="K14"/>
      <c r="M14" s="123"/>
      <c r="N14" s="116"/>
      <c r="O14"/>
      <c r="P14"/>
      <c r="Q14" s="62"/>
    </row>
    <row r="15" spans="1:259" ht="15" customHeight="1" x14ac:dyDescent="0.25">
      <c r="A15" s="63"/>
      <c r="B15" s="116"/>
      <c r="C15" s="116"/>
      <c r="D15"/>
      <c r="E15"/>
      <c r="G15" s="123"/>
      <c r="H15" s="116"/>
      <c r="I15" s="116"/>
      <c r="J15"/>
      <c r="K15"/>
      <c r="M15" s="123"/>
      <c r="N15" s="116"/>
      <c r="O15"/>
      <c r="P15"/>
      <c r="Q15" s="62"/>
    </row>
    <row r="16" spans="1:259" ht="15" customHeight="1" x14ac:dyDescent="0.25">
      <c r="A16" s="63"/>
      <c r="B16" s="116"/>
      <c r="C16" s="116"/>
      <c r="D16"/>
      <c r="E16"/>
      <c r="G16" s="123"/>
      <c r="H16" s="116"/>
      <c r="I16" s="116"/>
      <c r="J16"/>
      <c r="K16"/>
      <c r="M16" s="123"/>
      <c r="N16" s="116"/>
      <c r="O16"/>
      <c r="P16"/>
      <c r="Q16" s="62"/>
    </row>
    <row r="17" spans="1:17" ht="15" customHeight="1" x14ac:dyDescent="0.25">
      <c r="A17" s="63"/>
      <c r="B17" s="116"/>
      <c r="C17" s="116"/>
      <c r="D17"/>
      <c r="E17"/>
      <c r="G17" s="123"/>
      <c r="H17" s="116"/>
      <c r="I17" s="116"/>
      <c r="J17"/>
      <c r="K17"/>
      <c r="M17" s="123"/>
      <c r="N17" s="116"/>
      <c r="O17"/>
      <c r="P17"/>
      <c r="Q17" s="62"/>
    </row>
    <row r="18" spans="1:17" ht="15" customHeight="1" x14ac:dyDescent="0.25">
      <c r="A18" s="63"/>
      <c r="B18" s="116"/>
      <c r="C18" s="116"/>
      <c r="D18"/>
      <c r="E18"/>
      <c r="G18" s="123"/>
      <c r="H18" s="116"/>
      <c r="I18" s="116"/>
      <c r="J18"/>
      <c r="K18"/>
      <c r="M18" s="123"/>
      <c r="N18" s="116"/>
      <c r="O18"/>
      <c r="P18"/>
      <c r="Q18" s="62"/>
    </row>
    <row r="19" spans="1:17" ht="15" customHeight="1" x14ac:dyDescent="0.25">
      <c r="A19" s="63"/>
      <c r="B19" s="116"/>
      <c r="C19" s="116"/>
      <c r="D19"/>
      <c r="E19"/>
      <c r="G19" s="123"/>
      <c r="H19" s="116"/>
      <c r="I19" s="116"/>
      <c r="J19"/>
      <c r="K19"/>
      <c r="M19" s="123"/>
      <c r="N19" s="116"/>
      <c r="O19"/>
      <c r="P19"/>
      <c r="Q19" s="62"/>
    </row>
    <row r="20" spans="1:17" ht="15" customHeight="1" x14ac:dyDescent="0.25">
      <c r="A20" s="63"/>
      <c r="B20" s="116"/>
      <c r="C20" s="116"/>
      <c r="D20"/>
      <c r="E20"/>
      <c r="G20" s="123"/>
      <c r="H20" s="116"/>
      <c r="I20" s="116"/>
      <c r="J20"/>
      <c r="K20"/>
      <c r="M20" s="123"/>
      <c r="N20" s="116"/>
      <c r="O20"/>
      <c r="P20"/>
      <c r="Q20" s="62"/>
    </row>
    <row r="21" spans="1:17" ht="15" customHeight="1" x14ac:dyDescent="0.25">
      <c r="A21" s="63"/>
      <c r="B21" s="116"/>
      <c r="C21" s="116"/>
      <c r="D21"/>
      <c r="E21"/>
      <c r="G21" s="123"/>
      <c r="H21" s="116"/>
      <c r="I21" s="116"/>
      <c r="J21"/>
      <c r="K21"/>
      <c r="M21" s="123"/>
      <c r="N21" s="116"/>
      <c r="O21"/>
      <c r="P21"/>
      <c r="Q21" s="62"/>
    </row>
    <row r="22" spans="1:17" ht="15" customHeight="1" x14ac:dyDescent="0.25">
      <c r="A22" s="63"/>
      <c r="B22" s="116"/>
      <c r="C22" s="116"/>
      <c r="D22"/>
      <c r="E22"/>
      <c r="G22" s="123"/>
      <c r="H22" s="116"/>
      <c r="I22" s="116"/>
      <c r="J22"/>
      <c r="K22"/>
      <c r="M22" s="123"/>
      <c r="N22" s="116"/>
      <c r="O22"/>
      <c r="P22"/>
      <c r="Q22" s="62"/>
    </row>
    <row r="23" spans="1:17" ht="15" customHeight="1" x14ac:dyDescent="0.25">
      <c r="A23" s="56"/>
      <c r="B23" s="60"/>
      <c r="C23" s="60"/>
      <c r="D23" s="60"/>
      <c r="E23" s="60"/>
      <c r="F23" s="60"/>
      <c r="G23" s="119"/>
      <c r="H23" s="56"/>
      <c r="I23" s="56"/>
      <c r="J23" s="56"/>
      <c r="K23" s="56"/>
      <c r="L23" s="56"/>
      <c r="M23" s="119"/>
      <c r="N23" s="56"/>
      <c r="O23" s="56"/>
      <c r="P23" s="56"/>
      <c r="Q23" s="57"/>
    </row>
    <row r="24" spans="1:17" ht="15" customHeight="1" x14ac:dyDescent="0.25">
      <c r="A24" s="56"/>
      <c r="B24" s="60"/>
      <c r="C24" s="60"/>
      <c r="D24" s="60"/>
      <c r="E24" s="60"/>
      <c r="F24" s="60"/>
      <c r="G24" s="119"/>
      <c r="H24" s="56"/>
      <c r="I24" s="56"/>
      <c r="J24" s="56"/>
      <c r="K24" s="56"/>
      <c r="L24" s="56"/>
      <c r="M24" s="119"/>
      <c r="N24" s="56"/>
      <c r="O24" s="56"/>
      <c r="P24" s="56"/>
      <c r="Q24" s="57"/>
    </row>
    <row r="25" spans="1:17" ht="15" customHeight="1" x14ac:dyDescent="0.25">
      <c r="A25" s="56"/>
      <c r="B25" s="60"/>
      <c r="C25" s="60"/>
      <c r="D25" s="60"/>
      <c r="E25" s="60"/>
      <c r="F25" s="60"/>
      <c r="G25" s="119"/>
      <c r="H25" s="56"/>
      <c r="I25" s="56"/>
      <c r="J25" s="56"/>
      <c r="K25" s="56"/>
      <c r="L25" s="56"/>
      <c r="M25" s="119"/>
      <c r="N25" s="56"/>
      <c r="O25" s="56"/>
      <c r="P25" s="56"/>
      <c r="Q25" s="57"/>
    </row>
    <row r="26" spans="1:17" ht="15" customHeight="1" x14ac:dyDescent="0.25">
      <c r="A26" s="56"/>
      <c r="B26" s="60"/>
      <c r="C26" s="60"/>
      <c r="D26" s="60"/>
      <c r="E26" s="60"/>
      <c r="F26" s="60"/>
      <c r="G26" s="119"/>
      <c r="H26" s="56"/>
      <c r="I26" s="56"/>
      <c r="J26" s="56"/>
      <c r="K26" s="56"/>
      <c r="L26" s="56"/>
      <c r="M26" s="119"/>
      <c r="N26" s="56"/>
      <c r="O26" s="56"/>
      <c r="P26" s="56"/>
      <c r="Q26" s="57"/>
    </row>
    <row r="27" spans="1:17" ht="15" customHeight="1" x14ac:dyDescent="0.25">
      <c r="A27" s="56"/>
      <c r="B27" s="60"/>
      <c r="C27" s="60"/>
      <c r="D27" s="60"/>
      <c r="E27" s="60"/>
      <c r="F27" s="60"/>
      <c r="G27" s="119"/>
      <c r="H27" s="56"/>
      <c r="I27" s="56"/>
      <c r="J27" s="56"/>
      <c r="K27" s="56"/>
      <c r="L27" s="56"/>
      <c r="M27" s="119"/>
      <c r="N27" s="56"/>
      <c r="O27" s="56"/>
      <c r="P27" s="56"/>
      <c r="Q27" s="57"/>
    </row>
    <row r="28" spans="1:17" ht="15" customHeight="1" x14ac:dyDescent="0.25">
      <c r="A28" s="56"/>
      <c r="B28" s="60"/>
      <c r="C28" s="60"/>
      <c r="D28" s="60"/>
      <c r="E28" s="60"/>
      <c r="F28" s="60"/>
      <c r="G28" s="119"/>
      <c r="H28" s="56"/>
      <c r="I28" s="56"/>
      <c r="J28" s="56"/>
      <c r="K28" s="56"/>
      <c r="L28" s="56"/>
      <c r="M28" s="119"/>
      <c r="N28" s="56"/>
      <c r="O28" s="56"/>
      <c r="P28" s="56"/>
      <c r="Q28" s="57"/>
    </row>
    <row r="29" spans="1:17" ht="15" customHeight="1" x14ac:dyDescent="0.25">
      <c r="A29" s="56"/>
      <c r="B29" s="60"/>
      <c r="C29" s="60"/>
      <c r="D29" s="60"/>
      <c r="E29" s="60"/>
      <c r="F29" s="60"/>
      <c r="G29" s="119"/>
      <c r="H29" s="56"/>
      <c r="I29" s="56"/>
      <c r="J29" s="56"/>
      <c r="K29" s="56"/>
      <c r="L29" s="56"/>
      <c r="M29" s="119"/>
      <c r="N29" s="56"/>
      <c r="O29" s="56"/>
      <c r="P29" s="56"/>
      <c r="Q29" s="57"/>
    </row>
    <row r="30" spans="1:17" ht="15" customHeight="1" x14ac:dyDescent="0.25">
      <c r="A30" s="56"/>
      <c r="B30" s="60"/>
      <c r="C30" s="60"/>
      <c r="D30" s="60"/>
      <c r="E30" s="60"/>
      <c r="F30" s="60"/>
      <c r="G30" s="119"/>
      <c r="H30" s="56"/>
      <c r="I30" s="56"/>
      <c r="J30" s="56"/>
      <c r="K30" s="56"/>
      <c r="L30" s="56"/>
      <c r="M30" s="119"/>
      <c r="N30" s="56"/>
      <c r="O30" s="56"/>
      <c r="P30" s="56"/>
      <c r="Q30" s="57"/>
    </row>
    <row r="31" spans="1:17" ht="15" customHeight="1" x14ac:dyDescent="0.25">
      <c r="A31" s="56"/>
      <c r="B31" s="56"/>
      <c r="C31" s="56"/>
      <c r="D31" s="56"/>
      <c r="E31" s="56"/>
      <c r="F31" s="56"/>
      <c r="G31" s="119"/>
      <c r="H31" s="56"/>
      <c r="I31" s="56"/>
      <c r="J31" s="56"/>
      <c r="K31" s="56"/>
      <c r="L31" s="56"/>
      <c r="M31" s="119"/>
      <c r="N31" s="56"/>
      <c r="O31" s="56"/>
      <c r="P31" s="56"/>
      <c r="Q31" s="57"/>
    </row>
    <row r="32" spans="1:17" ht="15" customHeight="1" x14ac:dyDescent="0.25">
      <c r="A32" s="56"/>
      <c r="B32" s="56"/>
      <c r="C32" s="56"/>
      <c r="D32" s="56"/>
      <c r="E32" s="56"/>
      <c r="F32" s="56"/>
      <c r="G32" s="119"/>
      <c r="H32" s="56"/>
      <c r="I32" s="56"/>
      <c r="J32" s="56"/>
      <c r="K32" s="56"/>
      <c r="L32" s="56"/>
      <c r="M32" s="119"/>
      <c r="N32" s="56"/>
      <c r="O32" s="56"/>
      <c r="P32" s="56"/>
      <c r="Q32" s="57"/>
    </row>
    <row r="33" spans="1:259" ht="15" customHeight="1" x14ac:dyDescent="0.25">
      <c r="A33" s="56"/>
      <c r="B33" s="56"/>
      <c r="C33" s="56"/>
      <c r="D33" s="56"/>
      <c r="E33" s="56"/>
      <c r="F33" s="56"/>
      <c r="G33" s="119"/>
      <c r="H33" s="56"/>
      <c r="I33" s="56"/>
      <c r="J33" s="56"/>
      <c r="K33" s="56"/>
      <c r="L33" s="56"/>
      <c r="M33" s="119"/>
      <c r="N33" s="56"/>
      <c r="O33" s="56"/>
      <c r="P33" s="56"/>
      <c r="Q33" s="57"/>
    </row>
    <row r="34" spans="1:259" ht="15" customHeight="1" x14ac:dyDescent="0.25">
      <c r="A34" s="56"/>
      <c r="B34" s="56"/>
      <c r="C34" s="56"/>
      <c r="D34" s="56"/>
      <c r="E34" s="56"/>
      <c r="F34" s="56"/>
      <c r="G34" s="119"/>
      <c r="H34" s="56"/>
      <c r="I34" s="56"/>
      <c r="J34" s="56"/>
      <c r="K34" s="56"/>
      <c r="L34" s="56"/>
      <c r="M34" s="119"/>
      <c r="N34" s="56"/>
      <c r="O34" s="56"/>
      <c r="P34" s="56"/>
      <c r="Q34" s="57"/>
    </row>
    <row r="35" spans="1:259" ht="15" customHeight="1" x14ac:dyDescent="0.25">
      <c r="A35" s="56"/>
      <c r="B35" s="56"/>
      <c r="C35" s="56"/>
      <c r="D35" s="56"/>
      <c r="E35" s="56"/>
      <c r="F35" s="56"/>
      <c r="G35" s="119"/>
      <c r="H35" s="56"/>
      <c r="I35" s="56"/>
      <c r="J35" s="56"/>
      <c r="K35" s="56"/>
      <c r="L35" s="56"/>
      <c r="M35" s="119"/>
      <c r="N35" s="56"/>
      <c r="O35" s="56"/>
      <c r="P35" s="56"/>
      <c r="Q35" s="57"/>
    </row>
    <row r="36" spans="1:259" ht="15" customHeight="1" x14ac:dyDescent="0.25">
      <c r="A36" s="56"/>
      <c r="B36" s="56"/>
      <c r="C36" s="56"/>
      <c r="D36" s="56"/>
      <c r="E36" s="56"/>
      <c r="F36" s="56"/>
      <c r="G36" s="119"/>
      <c r="H36" s="56"/>
      <c r="I36" s="56"/>
      <c r="J36" s="56"/>
      <c r="K36" s="56"/>
      <c r="L36" s="56"/>
      <c r="M36" s="119"/>
      <c r="N36" s="56"/>
      <c r="O36" s="56"/>
      <c r="P36" s="56"/>
      <c r="Q36" s="57"/>
    </row>
    <row r="37" spans="1:259" ht="15" customHeight="1" x14ac:dyDescent="0.25">
      <c r="A37" s="56"/>
      <c r="B37" s="56"/>
      <c r="C37" s="56"/>
      <c r="D37" s="56"/>
      <c r="E37" s="56"/>
      <c r="F37" s="56"/>
      <c r="G37" s="119"/>
      <c r="H37" s="56"/>
      <c r="I37" s="56"/>
      <c r="J37" s="56"/>
      <c r="K37" s="56"/>
      <c r="L37" s="56"/>
      <c r="M37" s="119"/>
      <c r="N37" s="56"/>
      <c r="O37" s="56"/>
      <c r="P37" s="56"/>
      <c r="Q37" s="57"/>
    </row>
    <row r="38" spans="1:259" ht="78" customHeight="1" x14ac:dyDescent="0.25">
      <c r="A38" s="56"/>
      <c r="B38" s="463" t="s">
        <v>253</v>
      </c>
      <c r="C38" s="463"/>
      <c r="D38" s="463"/>
      <c r="E38" s="463"/>
      <c r="F38" s="463"/>
      <c r="G38" s="119"/>
      <c r="H38" s="463" t="s">
        <v>253</v>
      </c>
      <c r="I38" s="463"/>
      <c r="J38" s="463"/>
      <c r="K38" s="463"/>
      <c r="L38" s="463"/>
      <c r="M38" s="119"/>
      <c r="N38" s="463" t="s">
        <v>253</v>
      </c>
      <c r="O38" s="463"/>
      <c r="P38" s="463"/>
      <c r="Q38" s="463"/>
    </row>
    <row r="39" spans="1:259" ht="15" customHeight="1" x14ac:dyDescent="0.25">
      <c r="A39" s="60"/>
      <c r="B39" s="60"/>
      <c r="C39" s="60"/>
      <c r="D39" s="60"/>
      <c r="E39" s="60"/>
      <c r="F39" s="60"/>
      <c r="G39" s="121"/>
      <c r="H39" s="60"/>
      <c r="I39" s="60"/>
      <c r="J39" s="60"/>
      <c r="K39" s="60"/>
      <c r="L39" s="60"/>
      <c r="M39" s="121"/>
      <c r="N39" s="60"/>
      <c r="O39" s="60"/>
      <c r="P39" s="60"/>
      <c r="Q39" s="62"/>
      <c r="R39" s="62"/>
      <c r="S39" s="62"/>
      <c r="T39" s="62"/>
      <c r="U39" s="62"/>
      <c r="V39" s="62"/>
      <c r="W39" s="62"/>
      <c r="X39" s="62"/>
      <c r="Y39" s="62"/>
      <c r="Z39" s="62"/>
      <c r="AA39" s="62"/>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row>
    <row r="40" spans="1:259" ht="15" customHeight="1" x14ac:dyDescent="0.25">
      <c r="A40" s="60"/>
      <c r="B40" s="60"/>
      <c r="C40" s="60"/>
      <c r="D40" s="60"/>
      <c r="E40" s="60"/>
      <c r="F40" s="60"/>
      <c r="G40" s="121"/>
      <c r="H40" s="60"/>
      <c r="I40" s="60"/>
      <c r="J40" s="60"/>
      <c r="K40" s="60"/>
      <c r="L40" s="60"/>
      <c r="M40" s="121"/>
      <c r="N40" s="60"/>
      <c r="O40" s="60"/>
      <c r="P40" s="60"/>
      <c r="Q40" s="62"/>
      <c r="R40" s="62"/>
      <c r="S40" s="62"/>
      <c r="T40" s="62"/>
      <c r="U40" s="62"/>
      <c r="V40" s="62"/>
      <c r="W40" s="62"/>
      <c r="X40" s="62"/>
      <c r="Y40" s="62"/>
      <c r="Z40" s="62"/>
      <c r="AA40" s="62"/>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row>
    <row r="41" spans="1:259" ht="15" customHeight="1" x14ac:dyDescent="0.25">
      <c r="A41" s="60"/>
      <c r="B41" s="60"/>
      <c r="C41" s="60"/>
      <c r="D41" s="60"/>
      <c r="E41" s="60"/>
      <c r="F41" s="60"/>
      <c r="G41" s="121"/>
      <c r="H41" s="60"/>
      <c r="I41" s="60"/>
      <c r="J41" s="60"/>
      <c r="K41" s="60"/>
      <c r="L41" s="60"/>
      <c r="M41" s="121"/>
      <c r="N41" s="60"/>
      <c r="O41" s="60"/>
      <c r="P41" s="60"/>
      <c r="Q41" s="62"/>
      <c r="R41" s="62"/>
      <c r="S41" s="62"/>
      <c r="T41" s="62"/>
      <c r="U41" s="62"/>
      <c r="V41" s="62"/>
      <c r="W41" s="62"/>
      <c r="X41" s="62"/>
      <c r="Y41" s="62"/>
      <c r="Z41" s="62"/>
      <c r="AA41" s="62"/>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row>
    <row r="42" spans="1:259" ht="15" customHeight="1" x14ac:dyDescent="0.25">
      <c r="A42" s="60"/>
      <c r="B42" s="60"/>
      <c r="C42" s="60"/>
      <c r="D42" s="60"/>
      <c r="E42" s="60"/>
      <c r="F42" s="60"/>
      <c r="G42" s="121"/>
      <c r="H42" s="60"/>
      <c r="I42" s="60"/>
      <c r="J42" s="60"/>
      <c r="K42" s="60"/>
      <c r="L42" s="60"/>
      <c r="M42" s="121"/>
      <c r="N42" s="60"/>
      <c r="O42" s="60"/>
      <c r="P42" s="60"/>
      <c r="Q42" s="62"/>
      <c r="R42" s="62"/>
      <c r="S42" s="62"/>
      <c r="T42" s="62"/>
      <c r="U42" s="62"/>
      <c r="V42" s="62"/>
      <c r="W42" s="62"/>
      <c r="X42" s="62"/>
      <c r="Y42" s="62"/>
      <c r="Z42" s="62"/>
      <c r="AA42" s="62"/>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row>
    <row r="43" spans="1:259" ht="15" customHeight="1" x14ac:dyDescent="0.25">
      <c r="A43" s="60"/>
      <c r="B43" s="60"/>
      <c r="C43" s="60"/>
      <c r="D43" s="60"/>
      <c r="E43" s="60"/>
      <c r="F43" s="60"/>
      <c r="G43" s="121"/>
      <c r="H43" s="60"/>
      <c r="I43" s="60"/>
      <c r="J43" s="60"/>
      <c r="K43" s="60"/>
      <c r="L43" s="60"/>
      <c r="M43" s="121"/>
      <c r="N43" s="60"/>
      <c r="O43" s="60"/>
      <c r="P43" s="60"/>
      <c r="Q43" s="62"/>
      <c r="R43" s="62"/>
      <c r="S43" s="62"/>
      <c r="T43" s="62"/>
      <c r="U43" s="62"/>
      <c r="V43" s="62"/>
      <c r="W43" s="62"/>
      <c r="X43" s="62"/>
      <c r="Y43" s="62"/>
      <c r="Z43" s="62"/>
      <c r="AA43" s="62"/>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row>
    <row r="44" spans="1:259" ht="15" customHeight="1" x14ac:dyDescent="0.25">
      <c r="A44" s="60"/>
      <c r="B44" s="60"/>
      <c r="C44" s="60"/>
      <c r="D44" s="60"/>
      <c r="E44" s="60"/>
      <c r="F44" s="60"/>
      <c r="G44" s="121"/>
      <c r="H44" s="60"/>
      <c r="I44" s="60"/>
      <c r="J44" s="60"/>
      <c r="K44" s="60"/>
      <c r="L44" s="60"/>
      <c r="M44" s="121"/>
      <c r="N44" s="60"/>
      <c r="O44" s="60"/>
      <c r="P44" s="60"/>
      <c r="Q44" s="62"/>
      <c r="R44" s="62"/>
      <c r="S44" s="62"/>
      <c r="T44" s="62"/>
      <c r="U44" s="62"/>
      <c r="V44" s="62"/>
      <c r="W44" s="62"/>
      <c r="X44" s="62"/>
      <c r="Y44" s="62"/>
      <c r="Z44" s="62"/>
      <c r="AA44" s="62"/>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row>
    <row r="45" spans="1:259" ht="15" customHeight="1" x14ac:dyDescent="0.25">
      <c r="G45" s="122"/>
      <c r="M45" s="122"/>
    </row>
    <row r="46" spans="1:259" ht="15" customHeight="1" x14ac:dyDescent="0.25">
      <c r="G46" s="122"/>
      <c r="M46" s="122"/>
    </row>
    <row r="47" spans="1:259" ht="15" customHeight="1" x14ac:dyDescent="0.25">
      <c r="G47" s="122"/>
      <c r="M47" s="122"/>
    </row>
    <row r="48" spans="1:259" ht="15" customHeight="1" x14ac:dyDescent="0.25">
      <c r="G48" s="122"/>
      <c r="M48" s="122"/>
    </row>
    <row r="49" spans="1:259" ht="15" customHeight="1" x14ac:dyDescent="0.25">
      <c r="G49" s="122"/>
      <c r="M49" s="122"/>
    </row>
    <row r="50" spans="1:259" ht="15" customHeight="1" x14ac:dyDescent="0.25">
      <c r="G50" s="122"/>
      <c r="M50" s="122"/>
    </row>
    <row r="51" spans="1:259" ht="15" customHeight="1" x14ac:dyDescent="0.25">
      <c r="G51" s="122"/>
      <c r="M51" s="122"/>
    </row>
    <row r="52" spans="1:259" ht="15" customHeight="1" x14ac:dyDescent="0.25">
      <c r="G52" s="122"/>
      <c r="M52" s="122"/>
    </row>
    <row r="53" spans="1:259" ht="15" customHeight="1" x14ac:dyDescent="0.25">
      <c r="G53" s="122"/>
      <c r="M53" s="122"/>
    </row>
    <row r="54" spans="1:259" ht="15" customHeight="1" x14ac:dyDescent="0.25">
      <c r="G54" s="122"/>
      <c r="M54" s="122"/>
    </row>
    <row r="55" spans="1:259" s="148" customFormat="1" ht="77.25" customHeight="1" x14ac:dyDescent="0.25">
      <c r="A55" s="167"/>
      <c r="B55" s="462" t="s">
        <v>254</v>
      </c>
      <c r="C55" s="462"/>
      <c r="D55" s="462"/>
      <c r="E55" s="462"/>
      <c r="F55" s="462"/>
      <c r="G55" s="122"/>
      <c r="H55" s="462" t="s">
        <v>254</v>
      </c>
      <c r="I55" s="462"/>
      <c r="J55" s="462"/>
      <c r="K55" s="462"/>
      <c r="L55" s="462"/>
      <c r="M55" s="122"/>
      <c r="N55" s="462" t="s">
        <v>254</v>
      </c>
      <c r="O55" s="462"/>
      <c r="P55" s="462"/>
      <c r="Q55" s="462"/>
      <c r="R55" s="168"/>
      <c r="S55" s="168"/>
      <c r="T55" s="168"/>
      <c r="U55" s="168"/>
      <c r="V55" s="168"/>
      <c r="W55" s="168"/>
      <c r="X55" s="168"/>
      <c r="Y55" s="168"/>
      <c r="Z55" s="168"/>
      <c r="AA55" s="168"/>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c r="GQ55" s="167"/>
      <c r="GR55" s="167"/>
      <c r="GS55" s="167"/>
      <c r="GT55" s="167"/>
      <c r="GU55" s="167"/>
      <c r="GV55" s="167"/>
      <c r="GW55" s="167"/>
      <c r="GX55" s="167"/>
      <c r="GY55" s="167"/>
      <c r="GZ55" s="167"/>
      <c r="HA55" s="167"/>
      <c r="HB55" s="167"/>
      <c r="HC55" s="167"/>
      <c r="HD55" s="167"/>
      <c r="HE55" s="167"/>
      <c r="HF55" s="167"/>
      <c r="HG55" s="167"/>
      <c r="HH55" s="167"/>
      <c r="HI55" s="167"/>
      <c r="HJ55" s="167"/>
      <c r="HK55" s="167"/>
      <c r="HL55" s="167"/>
      <c r="HM55" s="167"/>
      <c r="HN55" s="167"/>
      <c r="HO55" s="167"/>
      <c r="HP55" s="167"/>
      <c r="HQ55" s="167"/>
      <c r="HR55" s="167"/>
      <c r="HS55" s="167"/>
      <c r="HT55" s="167"/>
      <c r="HU55" s="167"/>
      <c r="HV55" s="167"/>
      <c r="HW55" s="167"/>
      <c r="HX55" s="167"/>
      <c r="HY55" s="167"/>
      <c r="HZ55" s="167"/>
      <c r="IA55" s="167"/>
      <c r="IB55" s="167"/>
      <c r="IC55" s="167"/>
      <c r="ID55" s="167"/>
      <c r="IE55" s="167"/>
      <c r="IF55" s="167"/>
      <c r="IG55" s="167"/>
      <c r="IH55" s="167"/>
      <c r="II55" s="167"/>
      <c r="IJ55" s="167"/>
      <c r="IK55" s="167"/>
      <c r="IL55" s="167"/>
      <c r="IM55" s="167"/>
      <c r="IN55" s="167"/>
      <c r="IO55" s="167"/>
      <c r="IP55" s="167"/>
      <c r="IQ55" s="167"/>
      <c r="IR55" s="167"/>
      <c r="IS55" s="167"/>
      <c r="IT55" s="167"/>
      <c r="IU55" s="167"/>
      <c r="IV55" s="167"/>
      <c r="IW55" s="167"/>
      <c r="IX55" s="167"/>
      <c r="IY55" s="167"/>
    </row>
    <row r="56" spans="1:259" ht="15" hidden="1" customHeight="1" x14ac:dyDescent="0.25"/>
  </sheetData>
  <sheetProtection password="C66B" sheet="1" objects="1" scenarios="1" selectLockedCells="1"/>
  <mergeCells count="12">
    <mergeCell ref="N55:Q55"/>
    <mergeCell ref="H55:L55"/>
    <mergeCell ref="B55:F55"/>
    <mergeCell ref="N38:Q38"/>
    <mergeCell ref="H38:L38"/>
    <mergeCell ref="B38:F38"/>
    <mergeCell ref="J2:K2"/>
    <mergeCell ref="O2:P2"/>
    <mergeCell ref="D2:E2"/>
    <mergeCell ref="N1:Q1"/>
    <mergeCell ref="H1:L1"/>
    <mergeCell ref="B1:F1"/>
  </mergeCells>
  <printOptions horizontalCentered="1"/>
  <pageMargins left="1" right="1" top="1" bottom="0.5" header="0" footer="0"/>
  <pageSetup scale="82" orientation="portrait" verticalDpi="2048" r:id="rId1"/>
  <headerFooter alignWithMargins="0">
    <oddHeader>&amp;L&amp;G&amp;C&amp;"Calibri,Bold"Outcome Improvement Calculator:
CHANGE IN LENGTH OF STAY&amp;R&amp;"Verdana,Bold"&amp;14&amp;G</oddHeader>
    <oddFooter>&amp;L&amp;8
For more information on the Performance Improvement Calculator, please contact Anna Blasco at the National Alliance to End Homelessness: ablasco@naeh.org or Megan Kurteff Schatz of Focus Strategies: megan@focusstrategies.net. 
&amp;R&amp;8Page &amp;P of &amp;N</oddFooter>
  </headerFooter>
  <rowBreaks count="3" manualBreakCount="3">
    <brk id="38" max="5" man="1"/>
    <brk id="38" min="7" max="11" man="1"/>
    <brk id="38" min="13" max="16" man="1"/>
  </rowBreaks>
  <colBreaks count="2" manualBreakCount="2">
    <brk id="7" max="1048575" man="1"/>
    <brk id="13"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7" r:id="rId5" name="Label 5">
              <controlPr defaultSize="0" autoFill="0" autoLine="0" autoPict="0">
                <anchor moveWithCells="1" sizeWithCells="1">
                  <from>
                    <xdr:col>5</xdr:col>
                    <xdr:colOff>57150</xdr:colOff>
                    <xdr:row>6</xdr:row>
                    <xdr:rowOff>180975</xdr:rowOff>
                  </from>
                  <to>
                    <xdr:col>5</xdr:col>
                    <xdr:colOff>1028700</xdr:colOff>
                    <xdr:row>8</xdr:row>
                    <xdr:rowOff>104775</xdr:rowOff>
                  </to>
                </anchor>
              </controlPr>
            </control>
          </mc:Choice>
        </mc:AlternateContent>
        <mc:AlternateContent xmlns:mc="http://schemas.openxmlformats.org/markup-compatibility/2006">
          <mc:Choice Requires="x14">
            <control shapeId="23558" r:id="rId6" name="Label 6">
              <controlPr defaultSize="0" autoFill="0" autoLine="0" autoPict="0">
                <anchor moveWithCells="1" sizeWithCells="1">
                  <from>
                    <xdr:col>10</xdr:col>
                    <xdr:colOff>800100</xdr:colOff>
                    <xdr:row>6</xdr:row>
                    <xdr:rowOff>180975</xdr:rowOff>
                  </from>
                  <to>
                    <xdr:col>11</xdr:col>
                    <xdr:colOff>1009650</xdr:colOff>
                    <xdr:row>8</xdr:row>
                    <xdr:rowOff>104775</xdr:rowOff>
                  </to>
                </anchor>
              </controlPr>
            </control>
          </mc:Choice>
        </mc:AlternateContent>
        <mc:AlternateContent xmlns:mc="http://schemas.openxmlformats.org/markup-compatibility/2006">
          <mc:Choice Requires="x14">
            <control shapeId="23559" r:id="rId7" name="Label 7">
              <controlPr defaultSize="0" autoFill="0" autoLine="0" autoPict="0">
                <anchor moveWithCells="1" sizeWithCells="1">
                  <from>
                    <xdr:col>15</xdr:col>
                    <xdr:colOff>1143000</xdr:colOff>
                    <xdr:row>7</xdr:row>
                    <xdr:rowOff>38100</xdr:rowOff>
                  </from>
                  <to>
                    <xdr:col>16</xdr:col>
                    <xdr:colOff>933450</xdr:colOff>
                    <xdr:row>8</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1a. About the Calculator</vt:lpstr>
      <vt:lpstr>1b. Getting Started</vt:lpstr>
      <vt:lpstr>1c. FAQs</vt:lpstr>
      <vt:lpstr>2.Data Input</vt:lpstr>
      <vt:lpstr>3.Investment Wksht (optional)</vt:lpstr>
      <vt:lpstr>4.Current Outcomes</vt:lpstr>
      <vt:lpstr>5.Current Investments &amp; Costs</vt:lpstr>
      <vt:lpstr>6.Change PH Exits</vt:lpstr>
      <vt:lpstr>7.Change LOS</vt:lpstr>
      <vt:lpstr>8.Change Investments</vt:lpstr>
      <vt:lpstr>9.Change Returns to Hmls</vt:lpstr>
      <vt:lpstr>10.Summary of Changes</vt:lpstr>
      <vt:lpstr>11.Change All Calculator</vt:lpstr>
      <vt:lpstr>Formulas</vt:lpstr>
      <vt:lpstr>'10.Summary of Changes'!Print_Area</vt:lpstr>
      <vt:lpstr>'11.Change All Calculator'!Print_Area</vt:lpstr>
      <vt:lpstr>'1c. FAQs'!Print_Area</vt:lpstr>
      <vt:lpstr>'2.Data Input'!Print_Area</vt:lpstr>
      <vt:lpstr>'4.Current Outcomes'!Print_Area</vt:lpstr>
      <vt:lpstr>'5.Current Investments &amp; Costs'!Print_Area</vt:lpstr>
      <vt:lpstr>'6.Change PH Exits'!Print_Area</vt:lpstr>
      <vt:lpstr>'7.Change LOS'!Print_Area</vt:lpstr>
      <vt:lpstr>'8.Change Investments'!Print_Area</vt:lpstr>
      <vt:lpstr>'9.Change Returns to Hmls'!Print_Area</vt:lpstr>
      <vt:lpstr>'10.Summary of Changes'!Print_Titles</vt:lpstr>
      <vt:lpstr>'11.Change All Calculator'!Print_Titles</vt:lpstr>
      <vt:lpstr>'4.Current Outcomes'!Print_Titles</vt:lpstr>
      <vt:lpstr>'5.Current Investments &amp; Costs'!Print_Titles</vt:lpstr>
      <vt:lpstr>'6.Change PH Exits'!Print_Titles</vt:lpstr>
      <vt:lpstr>'7.Change LOS'!Print_Titles</vt:lpstr>
      <vt:lpstr>'8.Change Investments'!Print_Titles</vt:lpstr>
      <vt:lpstr>'9.Change Returns to Hmls'!Print_Titles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Focus Strategies</dc:creator>
  <cp:lastModifiedBy>Shalom Mulkey</cp:lastModifiedBy>
  <cp:lastPrinted>2013-08-29T16:07:34Z</cp:lastPrinted>
  <dcterms:created xsi:type="dcterms:W3CDTF">2012-07-14T02:26:53Z</dcterms:created>
  <dcterms:modified xsi:type="dcterms:W3CDTF">2017-06-28T18:42:12Z</dcterms:modified>
</cp:coreProperties>
</file>